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ютий" sheetId="1" r:id="rId1"/>
    <sheet name="січень 17" sheetId="2" r:id="rId2"/>
    <sheet name="грудень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<sst xmlns="http://schemas.openxmlformats.org/spreadsheetml/2006/main" count="415" uniqueCount="153">
  <si>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</si>
  <si>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</si>
  <si>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</si>
  <si>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</si>
  <si>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</si>
  <si>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</si>
  <si>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</si>
  <si>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</si>
  <si>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</si>
  <si>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</si>
  <si>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</si>
  <si>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</si>
  <si>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</si>
  <si>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</si>
  <si>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</si>
  <si>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</si>
  <si>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</si>
  <si>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</si>
  <si>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</si>
  <si>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</si>
  <si>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</si>
  <si>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</si>
  <si>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</si>
  <si>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</si>
  <si>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</si>
  <si>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</si>
  <si>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</si>
  <si>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</si>
  <si>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</si>
  <si>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</si>
  <si>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</si>
  <si>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</si>
  <si>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</si>
  <si>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</si>
  <si>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</si>
  <si>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</si>
  <si>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</si>
  <si>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</si>
  <si>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</si>
  <si>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</si>
  <si>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</si>
  <si>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</si>
  <si>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</si>
  <si>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</si>
  <si>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</si>
  <si>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</si>
  <si>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</si>
  <si>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</si>
  <si>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</si>
  <si>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</si>
  <si>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</si>
  <si>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</si>
  <si>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</si>
  <si>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</si>
  <si>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</si>
  <si>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</si>
  <si>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</si>
  <si>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</si>
  <si>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</si>
  <si>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</si>
  <si>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</si>
  <si>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</si>
  <si>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</si>
  <si>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</si>
  <si>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</si>
  <si>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</si>
  <si>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</si>
  <si>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</si>
  <si>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</si>
  <si>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</si>
  <si>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</si>
  <si>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</si>
  <si>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</si>
  <si>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</si>
  <si>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</si>
  <si>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</si>
  <si>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</si>
  <si>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</si>
  <si>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</si>
  <si>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</si>
  <si>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</si>
  <si>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</si>
  <si>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</si>
  <si>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</si>
  <si>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</si>
  <si>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</si>
  <si>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</si>
  <si>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</si>
  <si>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</si>
  <si>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</si>
  <si>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</si>
  <si>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</si>
  <si>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</si>
  <si>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</si>
  <si>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</si>
  <si>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</si>
  <si>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</si>
  <si>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</si>
  <si>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</si>
  <si>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</si>
  <si>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</si>
  <si>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</si>
  <si>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</si>
  <si>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</si>
  <si>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</si>
  <si>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</si>
  <si>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</si>
  <si>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</si>
  <si>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</si>
  <si>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</si>
  <si>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</si>
  <si>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</si>
  <si>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</si>
  <si>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</si>
  <si>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</si>
  <si>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</si>
  <si>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</si>
  <si>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</si>
  <si>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</si>
  <si>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</si>
  <si>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</si>
  <si>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</si>
  <si>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</si>
  <si>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</si>
  <si>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</si>
  <si>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</si>
  <si>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</si>
  <si>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</si>
  <si>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</si>
  <si>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</si>
  <si>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</si>
  <si>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</si>
  <si>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</si>
  <si>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</si>
  <si>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</si>
  <si>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</si>
  <si>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</si>
  <si>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</si>
  <si>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</si>
  <si>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</si>
  <si>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</si>
  <si>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</si>
  <si>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</si>
  <si>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</si>
  <si>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</si>
  <si>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</si>
  <si>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</si>
  <si>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</si>
  <si>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</si>
  <si>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</si>
  <si>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</si>
  <si>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09.02.2017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</si>
  <si>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08.02.17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</si>
</sst>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6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5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8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4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4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7" fillId="0" borderId="0" xfId="54" applyNumberFormat="1" applyFont="1" applyFill="1" applyProtection="1">
      <alignment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8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4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4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3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74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6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6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4" fillId="37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4" applyNumberFormat="1" applyFont="1" applyFill="1" applyProtection="1">
      <alignment/>
      <protection/>
    </xf>
    <xf numFmtId="182" fontId="7" fillId="38" borderId="0" xfId="54" applyNumberFormat="1" applyFont="1" applyFill="1" applyBorder="1" applyProtection="1">
      <alignment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5" fillId="0" borderId="0" xfId="0" applyFont="1" applyAlignment="1" applyProtection="1">
      <alignment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91" fontId="7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4" fontId="3" fillId="34" borderId="10" xfId="54" applyNumberFormat="1" applyFont="1" applyFill="1" applyBorder="1" applyProtection="1">
      <alignment/>
      <protection/>
    </xf>
    <xf numFmtId="0" fontId="7" fillId="38" borderId="10" xfId="54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4" applyFont="1" applyFill="1" applyBorder="1" applyAlignment="1" applyProtection="1">
      <alignment vertical="center" wrapText="1"/>
      <protection/>
    </xf>
    <xf numFmtId="0" fontId="7" fillId="38" borderId="10" xfId="54" applyFont="1" applyFill="1" applyBorder="1" applyAlignment="1" applyProtection="1">
      <alignment horizontal="left" wrapText="1"/>
      <protection/>
    </xf>
    <xf numFmtId="0" fontId="7" fillId="38" borderId="10" xfId="54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12" fillId="0" borderId="0" xfId="54" applyFont="1" applyAlignment="1" applyProtection="1">
      <alignment horizontal="center"/>
      <protection/>
    </xf>
    <xf numFmtId="0" fontId="73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4" fillId="13" borderId="18" xfId="54" applyFont="1" applyFill="1" applyBorder="1" applyAlignment="1" applyProtection="1">
      <alignment horizontal="center" vertical="center" wrapText="1"/>
      <protection/>
    </xf>
    <xf numFmtId="0" fontId="24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4" fillId="0" borderId="19" xfId="54" applyFont="1" applyFill="1" applyBorder="1" applyAlignment="1" applyProtection="1">
      <alignment horizontal="center" vertical="center" wrapText="1"/>
      <protection/>
    </xf>
    <xf numFmtId="0" fontId="24" fillId="0" borderId="20" xfId="54" applyFont="1" applyFill="1" applyBorder="1" applyAlignment="1" applyProtection="1">
      <alignment horizontal="center" vertical="center" wrapText="1"/>
      <protection/>
    </xf>
    <xf numFmtId="0" fontId="24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19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28" fillId="0" borderId="0" xfId="54" applyFont="1" applyAlignment="1" applyProtection="1">
      <alignment horizontal="center"/>
      <protection/>
    </xf>
    <xf numFmtId="0" fontId="28" fillId="0" borderId="0" xfId="54" applyFont="1" applyBorder="1" applyAlignment="1" applyProtection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Фонтан Сіті"/>
    </sheetNames>
    <sheetDataSet>
      <sheetData sheetId="19">
        <row r="6">
          <cell r="G6">
            <v>6.6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tabSelected="1" zoomScale="73" zoomScaleNormal="73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38" t="s">
        <v>151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86"/>
      <c r="S1" s="87"/>
    </row>
    <row r="2" spans="2:19" s="1" customFormat="1" ht="15.75" customHeight="1">
      <c r="B2" s="239"/>
      <c r="C2" s="239"/>
      <c r="D2" s="239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240"/>
      <c r="B3" s="242"/>
      <c r="C3" s="243" t="s">
        <v>0</v>
      </c>
      <c r="D3" s="244" t="s">
        <v>134</v>
      </c>
      <c r="E3" s="32"/>
      <c r="F3" s="245" t="s">
        <v>26</v>
      </c>
      <c r="G3" s="246"/>
      <c r="H3" s="246"/>
      <c r="I3" s="246"/>
      <c r="J3" s="247"/>
      <c r="K3" s="83"/>
      <c r="L3" s="83"/>
      <c r="M3" s="83"/>
      <c r="N3" s="248" t="s">
        <v>145</v>
      </c>
      <c r="O3" s="251" t="s">
        <v>149</v>
      </c>
      <c r="P3" s="251"/>
      <c r="Q3" s="251"/>
      <c r="R3" s="251"/>
      <c r="S3" s="251"/>
    </row>
    <row r="4" spans="1:19" ht="22.5" customHeight="1">
      <c r="A4" s="240"/>
      <c r="B4" s="242"/>
      <c r="C4" s="243"/>
      <c r="D4" s="244"/>
      <c r="E4" s="252" t="s">
        <v>150</v>
      </c>
      <c r="F4" s="254" t="s">
        <v>33</v>
      </c>
      <c r="G4" s="256" t="s">
        <v>146</v>
      </c>
      <c r="H4" s="249" t="s">
        <v>147</v>
      </c>
      <c r="I4" s="256" t="s">
        <v>138</v>
      </c>
      <c r="J4" s="249" t="s">
        <v>139</v>
      </c>
      <c r="K4" s="85" t="s">
        <v>141</v>
      </c>
      <c r="L4" s="204" t="s">
        <v>113</v>
      </c>
      <c r="M4" s="90" t="s">
        <v>63</v>
      </c>
      <c r="N4" s="249"/>
      <c r="O4" s="258" t="s">
        <v>152</v>
      </c>
      <c r="P4" s="256" t="s">
        <v>49</v>
      </c>
      <c r="Q4" s="260" t="s">
        <v>48</v>
      </c>
      <c r="R4" s="91" t="s">
        <v>64</v>
      </c>
      <c r="S4" s="92" t="s">
        <v>63</v>
      </c>
    </row>
    <row r="5" spans="1:19" ht="67.5" customHeight="1">
      <c r="A5" s="241"/>
      <c r="B5" s="242"/>
      <c r="C5" s="243"/>
      <c r="D5" s="244"/>
      <c r="E5" s="253"/>
      <c r="F5" s="255"/>
      <c r="G5" s="257"/>
      <c r="H5" s="250"/>
      <c r="I5" s="257"/>
      <c r="J5" s="250"/>
      <c r="K5" s="261" t="s">
        <v>148</v>
      </c>
      <c r="L5" s="262"/>
      <c r="M5" s="263"/>
      <c r="N5" s="250"/>
      <c r="O5" s="259"/>
      <c r="P5" s="257"/>
      <c r="Q5" s="260"/>
      <c r="R5" s="261" t="s">
        <v>102</v>
      </c>
      <c r="S5" s="263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117886.81</v>
      </c>
      <c r="G8" s="151">
        <f aca="true" t="shared" si="0" ref="G8:G37">F8-E8</f>
        <v>-78358.69</v>
      </c>
      <c r="H8" s="152">
        <f>F8/E8*100</f>
        <v>60.07108952816752</v>
      </c>
      <c r="I8" s="153">
        <f>F8-D8</f>
        <v>-1180564.29</v>
      </c>
      <c r="J8" s="153">
        <f>F8/D8*100</f>
        <v>9.07903347303568</v>
      </c>
      <c r="K8" s="151">
        <v>140423.02</v>
      </c>
      <c r="L8" s="151">
        <f aca="true" t="shared" si="1" ref="L8:L51">F8-K8</f>
        <v>-22536.209999999992</v>
      </c>
      <c r="M8" s="205">
        <f aca="true" t="shared" si="2" ref="M8:M28">F8/K8</f>
        <v>0.8395119973918806</v>
      </c>
      <c r="N8" s="151">
        <f>N9+N15+N18+N19+N20+N17</f>
        <v>101878</v>
      </c>
      <c r="O8" s="151">
        <f>O9+O15+O18+O19+O20+O17</f>
        <v>24029.839999999997</v>
      </c>
      <c r="P8" s="151">
        <f>O8-N8</f>
        <v>-77848.16</v>
      </c>
      <c r="Q8" s="151">
        <f>O8/N8*100</f>
        <v>23.586878423212074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62000.4</v>
      </c>
      <c r="G9" s="150">
        <f t="shared" si="0"/>
        <v>-40199.6</v>
      </c>
      <c r="H9" s="157">
        <f>F9/E9*100</f>
        <v>60.66575342465753</v>
      </c>
      <c r="I9" s="158">
        <f>F9-D9</f>
        <v>-704644.6</v>
      </c>
      <c r="J9" s="158">
        <f>F9/D9*100</f>
        <v>8.087237248009183</v>
      </c>
      <c r="K9" s="227">
        <v>70324.6</v>
      </c>
      <c r="L9" s="159">
        <f t="shared" si="1"/>
        <v>-8324.200000000004</v>
      </c>
      <c r="M9" s="206">
        <f t="shared" si="2"/>
        <v>0.8816317476388063</v>
      </c>
      <c r="N9" s="157">
        <f>E9-'січень 17'!E9</f>
        <v>54500</v>
      </c>
      <c r="O9" s="160">
        <f>F9-'січень 17'!F9</f>
        <v>15075.470000000001</v>
      </c>
      <c r="P9" s="161">
        <f>O9-N9</f>
        <v>-39424.53</v>
      </c>
      <c r="Q9" s="158">
        <f>O9/N9*100</f>
        <v>27.661412844036697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57651.54</v>
      </c>
      <c r="G10" s="103">
        <f t="shared" si="0"/>
        <v>-34696.46</v>
      </c>
      <c r="H10" s="30">
        <f aca="true" t="shared" si="3" ref="H10:H36">F10/E10*100</f>
        <v>62.428574522458526</v>
      </c>
      <c r="I10" s="104">
        <f aca="true" t="shared" si="4" ref="I10:I37">F10-D10</f>
        <v>-643665.46</v>
      </c>
      <c r="J10" s="104">
        <f aca="true" t="shared" si="5" ref="J10:J36">F10/D10*100</f>
        <v>8.220468062231486</v>
      </c>
      <c r="K10" s="106">
        <v>62213.95</v>
      </c>
      <c r="L10" s="106">
        <f t="shared" si="1"/>
        <v>-4562.409999999996</v>
      </c>
      <c r="M10" s="207">
        <f t="shared" si="2"/>
        <v>0.9266658040519852</v>
      </c>
      <c r="N10" s="105">
        <f>E10-'січень 17'!E10</f>
        <v>49064</v>
      </c>
      <c r="O10" s="144">
        <f>F10-'січень 17'!F10</f>
        <v>14508.61</v>
      </c>
      <c r="P10" s="106">
        <f aca="true" t="shared" si="6" ref="P10:P37">O10-N10</f>
        <v>-34555.39</v>
      </c>
      <c r="Q10" s="104">
        <f aca="true" t="shared" si="7" ref="Q10:Q18">O10/N10*100</f>
        <v>29.570785097016145</v>
      </c>
      <c r="R10" s="37"/>
      <c r="S10" s="94"/>
      <c r="T10" s="147">
        <f aca="true" t="shared" si="8" ref="T10:T73">D10-E10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2681.7</v>
      </c>
      <c r="G11" s="103">
        <f t="shared" si="0"/>
        <v>-4518.3</v>
      </c>
      <c r="H11" s="30">
        <f t="shared" si="3"/>
        <v>37.24583333333334</v>
      </c>
      <c r="I11" s="104">
        <f t="shared" si="4"/>
        <v>-43824.3</v>
      </c>
      <c r="J11" s="104">
        <f t="shared" si="5"/>
        <v>5.76635272868017</v>
      </c>
      <c r="K11" s="106">
        <v>5319.16</v>
      </c>
      <c r="L11" s="106">
        <f t="shared" si="1"/>
        <v>-2637.46</v>
      </c>
      <c r="M11" s="207">
        <f t="shared" si="2"/>
        <v>0.5041585513502131</v>
      </c>
      <c r="N11" s="105">
        <f>E11-'січень 17'!E11</f>
        <v>3600</v>
      </c>
      <c r="O11" s="144">
        <f>F11-'січень 17'!F11</f>
        <v>0</v>
      </c>
      <c r="P11" s="106">
        <f t="shared" si="6"/>
        <v>-3600</v>
      </c>
      <c r="Q11" s="104">
        <f t="shared" si="7"/>
        <v>0</v>
      </c>
      <c r="R11" s="37"/>
      <c r="S11" s="94"/>
      <c r="T11" s="147">
        <f t="shared" si="8"/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701.08</v>
      </c>
      <c r="G12" s="103">
        <f t="shared" si="0"/>
        <v>-138.91999999999996</v>
      </c>
      <c r="H12" s="30">
        <f t="shared" si="3"/>
        <v>83.46190476190478</v>
      </c>
      <c r="I12" s="104">
        <f t="shared" si="4"/>
        <v>-7578.92</v>
      </c>
      <c r="J12" s="104">
        <f t="shared" si="5"/>
        <v>8.467149758454106</v>
      </c>
      <c r="K12" s="106">
        <v>822.03</v>
      </c>
      <c r="L12" s="106">
        <f t="shared" si="1"/>
        <v>-120.94999999999993</v>
      </c>
      <c r="M12" s="207">
        <f t="shared" si="2"/>
        <v>0.8528642506964467</v>
      </c>
      <c r="N12" s="105">
        <f>E12-'січень 17'!E12</f>
        <v>420</v>
      </c>
      <c r="O12" s="144">
        <f>F12-'січень 17'!F12</f>
        <v>200.65000000000003</v>
      </c>
      <c r="P12" s="106">
        <f t="shared" si="6"/>
        <v>-219.34999999999997</v>
      </c>
      <c r="Q12" s="104">
        <f t="shared" si="7"/>
        <v>47.77380952380953</v>
      </c>
      <c r="R12" s="37"/>
      <c r="S12" s="94"/>
      <c r="T12" s="147">
        <f t="shared" si="8"/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841.53</v>
      </c>
      <c r="G13" s="103">
        <f t="shared" si="0"/>
        <v>-778.47</v>
      </c>
      <c r="H13" s="30">
        <f t="shared" si="3"/>
        <v>51.94629629629629</v>
      </c>
      <c r="I13" s="104">
        <f t="shared" si="4"/>
        <v>-8548.47</v>
      </c>
      <c r="J13" s="104">
        <f t="shared" si="5"/>
        <v>8.961980830670926</v>
      </c>
      <c r="K13" s="106">
        <v>1514.49</v>
      </c>
      <c r="L13" s="106">
        <f t="shared" si="1"/>
        <v>-672.96</v>
      </c>
      <c r="M13" s="207">
        <f t="shared" si="2"/>
        <v>0.5556523978368956</v>
      </c>
      <c r="N13" s="105">
        <f>E13-'січень 17'!E13</f>
        <v>1320</v>
      </c>
      <c r="O13" s="144">
        <f>F13-'січень 17'!F13</f>
        <v>342.16999999999996</v>
      </c>
      <c r="P13" s="106">
        <f t="shared" si="6"/>
        <v>-977.83</v>
      </c>
      <c r="Q13" s="104">
        <f t="shared" si="7"/>
        <v>25.921969696969693</v>
      </c>
      <c r="R13" s="37"/>
      <c r="S13" s="94"/>
      <c r="T13" s="147">
        <f t="shared" si="8"/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124.56</v>
      </c>
      <c r="G14" s="103">
        <f t="shared" si="0"/>
        <v>-67.44</v>
      </c>
      <c r="H14" s="30">
        <f t="shared" si="3"/>
        <v>64.875</v>
      </c>
      <c r="I14" s="104">
        <f t="shared" si="4"/>
        <v>-1027.44</v>
      </c>
      <c r="J14" s="104">
        <f t="shared" si="5"/>
        <v>10.8125</v>
      </c>
      <c r="K14" s="106">
        <v>454.97</v>
      </c>
      <c r="L14" s="106">
        <f t="shared" si="1"/>
        <v>-330.41</v>
      </c>
      <c r="M14" s="207">
        <f t="shared" si="2"/>
        <v>0.2737762929423918</v>
      </c>
      <c r="N14" s="105">
        <f>E14-'січень 17'!E14</f>
        <v>96</v>
      </c>
      <c r="O14" s="144">
        <f>F14-'січень 17'!F14</f>
        <v>24.060000000000002</v>
      </c>
      <c r="P14" s="106">
        <f t="shared" si="6"/>
        <v>-71.94</v>
      </c>
      <c r="Q14" s="104">
        <f t="shared" si="7"/>
        <v>25.062500000000004</v>
      </c>
      <c r="R14" s="37"/>
      <c r="S14" s="94"/>
      <c r="T14" s="147">
        <f t="shared" si="8"/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1.23</v>
      </c>
      <c r="G15" s="150">
        <f t="shared" si="0"/>
        <v>-49.77</v>
      </c>
      <c r="H15" s="157">
        <f>F15/E15/100</f>
        <v>0.00024117647058823527</v>
      </c>
      <c r="I15" s="158">
        <f t="shared" si="4"/>
        <v>-549.77</v>
      </c>
      <c r="J15" s="158">
        <f t="shared" si="5"/>
        <v>0.2232304900181488</v>
      </c>
      <c r="K15" s="161">
        <v>85.14</v>
      </c>
      <c r="L15" s="161">
        <f t="shared" si="1"/>
        <v>-83.91</v>
      </c>
      <c r="M15" s="208">
        <f t="shared" si="2"/>
        <v>0.014446793516560958</v>
      </c>
      <c r="N15" s="137">
        <f>E15-'січень 17'!E15</f>
        <v>51</v>
      </c>
      <c r="O15" s="145">
        <f>F15-'січень 17'!F15</f>
        <v>1.23</v>
      </c>
      <c r="P15" s="161">
        <f t="shared" si="6"/>
        <v>-49.77</v>
      </c>
      <c r="Q15" s="158">
        <f t="shared" si="7"/>
        <v>2.411764705882353</v>
      </c>
      <c r="R15" s="37"/>
      <c r="S15" s="94"/>
      <c r="T15" s="147">
        <f t="shared" si="8"/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>
        <f>E16-'січень 17'!E16</f>
        <v>0</v>
      </c>
      <c r="O16" s="160">
        <f>F16-'січень 17'!F16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57">
        <f>E17-'січень 17'!E17</f>
        <v>0</v>
      </c>
      <c r="O17" s="160">
        <f>F17-'січень 17'!F17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F18/E18/100</f>
        <v>0.016922857142857142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57">
        <f>E18-'січень 17'!E18</f>
        <v>70</v>
      </c>
      <c r="O18" s="160">
        <f>F18-'січень 17'!F18</f>
        <v>118.46</v>
      </c>
      <c r="P18" s="161">
        <f t="shared" si="6"/>
        <v>48.459999999999994</v>
      </c>
      <c r="Q18" s="158">
        <f t="shared" si="7"/>
        <v>169.22857142857143</v>
      </c>
      <c r="R18" s="37"/>
      <c r="S18" s="94"/>
      <c r="T18" s="147">
        <f t="shared" si="8"/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9801.77</v>
      </c>
      <c r="G19" s="150">
        <f t="shared" si="0"/>
        <v>-8198.23</v>
      </c>
      <c r="H19" s="157">
        <f t="shared" si="3"/>
        <v>54.45427777777778</v>
      </c>
      <c r="I19" s="158">
        <f t="shared" si="4"/>
        <v>-120198.23</v>
      </c>
      <c r="J19" s="158">
        <f t="shared" si="5"/>
        <v>7.539823076923077</v>
      </c>
      <c r="K19" s="169">
        <v>10861</v>
      </c>
      <c r="L19" s="161">
        <f t="shared" si="1"/>
        <v>-1059.2299999999996</v>
      </c>
      <c r="M19" s="213">
        <f t="shared" si="2"/>
        <v>0.9024739895037289</v>
      </c>
      <c r="N19" s="157">
        <f>E19-'січень 17'!E19</f>
        <v>8300</v>
      </c>
      <c r="O19" s="160">
        <f>F19-'січень 17'!F19</f>
        <v>50.02000000000044</v>
      </c>
      <c r="P19" s="161">
        <f t="shared" si="6"/>
        <v>-8249.98</v>
      </c>
      <c r="Q19" s="158">
        <f aca="true" t="shared" si="9" ref="Q19:Q24">O19/N19*100</f>
        <v>0.6026506024096439</v>
      </c>
      <c r="R19" s="107"/>
      <c r="S19" s="108"/>
      <c r="T19" s="147">
        <f t="shared" si="8"/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45964.95</v>
      </c>
      <c r="G20" s="150">
        <f t="shared" si="0"/>
        <v>-29959.550000000003</v>
      </c>
      <c r="H20" s="157">
        <f t="shared" si="3"/>
        <v>60.54033941613049</v>
      </c>
      <c r="I20" s="158">
        <f t="shared" si="4"/>
        <v>-355165.14999999997</v>
      </c>
      <c r="J20" s="158">
        <f t="shared" si="5"/>
        <v>11.458863346330778</v>
      </c>
      <c r="K20" s="158">
        <v>59046.44</v>
      </c>
      <c r="L20" s="161">
        <f t="shared" si="1"/>
        <v>-13081.490000000005</v>
      </c>
      <c r="M20" s="209">
        <f t="shared" si="2"/>
        <v>0.778454213327679</v>
      </c>
      <c r="N20" s="157">
        <f>E20-'січень 17'!E20</f>
        <v>38957</v>
      </c>
      <c r="O20" s="160">
        <f>F20-'січень 17'!F20</f>
        <v>8784.659999999996</v>
      </c>
      <c r="P20" s="161">
        <f t="shared" si="6"/>
        <v>-30172.340000000004</v>
      </c>
      <c r="Q20" s="158">
        <f t="shared" si="9"/>
        <v>22.5496316451472</v>
      </c>
      <c r="R20" s="107"/>
      <c r="S20" s="108"/>
      <c r="T20" s="147">
        <f t="shared" si="8"/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17344.96</v>
      </c>
      <c r="G21" s="150">
        <f t="shared" si="0"/>
        <v>-14735.84</v>
      </c>
      <c r="H21" s="157">
        <f t="shared" si="3"/>
        <v>54.06648213261514</v>
      </c>
      <c r="I21" s="158">
        <f t="shared" si="4"/>
        <v>-189276.04</v>
      </c>
      <c r="J21" s="158">
        <f t="shared" si="5"/>
        <v>8.394577511482376</v>
      </c>
      <c r="K21" s="158">
        <v>25484.06</v>
      </c>
      <c r="L21" s="161">
        <f t="shared" si="1"/>
        <v>-8139.100000000002</v>
      </c>
      <c r="M21" s="209">
        <f t="shared" si="2"/>
        <v>0.6806199640088745</v>
      </c>
      <c r="N21" s="157">
        <f>E21-'січень 17'!E21</f>
        <v>15335</v>
      </c>
      <c r="O21" s="160">
        <f>F21-'січень 17'!F21</f>
        <v>824.6800000000003</v>
      </c>
      <c r="P21" s="161">
        <f t="shared" si="6"/>
        <v>-14510.32</v>
      </c>
      <c r="Q21" s="158">
        <f t="shared" si="9"/>
        <v>5.377763286599285</v>
      </c>
      <c r="R21" s="107"/>
      <c r="S21" s="108"/>
      <c r="T21" s="147">
        <f t="shared" si="8"/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3917.3</v>
      </c>
      <c r="G22" s="171">
        <f t="shared" si="0"/>
        <v>-457.6999999999998</v>
      </c>
      <c r="H22" s="173">
        <f t="shared" si="3"/>
        <v>89.53828571428572</v>
      </c>
      <c r="I22" s="174">
        <f t="shared" si="4"/>
        <v>-18891.7</v>
      </c>
      <c r="J22" s="174">
        <f t="shared" si="5"/>
        <v>17.174360997851725</v>
      </c>
      <c r="K22" s="175">
        <v>3552.77</v>
      </c>
      <c r="L22" s="166">
        <f t="shared" si="1"/>
        <v>364.5300000000002</v>
      </c>
      <c r="M22" s="215">
        <f t="shared" si="2"/>
        <v>1.102604446671189</v>
      </c>
      <c r="N22" s="195">
        <f>E22-'січень 17'!E22</f>
        <v>225</v>
      </c>
      <c r="O22" s="179">
        <f>F22-'січень 17'!F22</f>
        <v>97.69000000000005</v>
      </c>
      <c r="P22" s="177">
        <f t="shared" si="6"/>
        <v>-127.30999999999995</v>
      </c>
      <c r="Q22" s="174">
        <f t="shared" si="9"/>
        <v>43.4177777777778</v>
      </c>
      <c r="R22" s="107"/>
      <c r="S22" s="108"/>
      <c r="T22" s="147">
        <f t="shared" si="8"/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124.25</v>
      </c>
      <c r="G23" s="198">
        <f t="shared" si="0"/>
        <v>-70.75</v>
      </c>
      <c r="H23" s="199">
        <f t="shared" si="3"/>
        <v>63.717948717948715</v>
      </c>
      <c r="I23" s="200">
        <f t="shared" si="4"/>
        <v>-1698.05</v>
      </c>
      <c r="J23" s="200">
        <f t="shared" si="5"/>
        <v>6.818306535696647</v>
      </c>
      <c r="K23" s="200">
        <v>146.88</v>
      </c>
      <c r="L23" s="200">
        <f t="shared" si="1"/>
        <v>-22.629999999999995</v>
      </c>
      <c r="M23" s="228">
        <f t="shared" si="2"/>
        <v>0.8459286492374728</v>
      </c>
      <c r="N23" s="237">
        <f>E23-'січень 17'!E23</f>
        <v>55</v>
      </c>
      <c r="O23" s="237">
        <f>F23-'січень 17'!F23</f>
        <v>3.8799999999999955</v>
      </c>
      <c r="P23" s="200">
        <f t="shared" si="6"/>
        <v>-51.120000000000005</v>
      </c>
      <c r="Q23" s="200">
        <f t="shared" si="9"/>
        <v>7.054545454545447</v>
      </c>
      <c r="R23" s="107"/>
      <c r="S23" s="108"/>
      <c r="T23" s="147">
        <f t="shared" si="8"/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3793.05</v>
      </c>
      <c r="G24" s="198">
        <f t="shared" si="0"/>
        <v>-386.9499999999998</v>
      </c>
      <c r="H24" s="199">
        <f t="shared" si="3"/>
        <v>90.74282296650719</v>
      </c>
      <c r="I24" s="200">
        <f t="shared" si="4"/>
        <v>-17193.65</v>
      </c>
      <c r="J24" s="200">
        <f t="shared" si="5"/>
        <v>18.073589463803266</v>
      </c>
      <c r="K24" s="200">
        <v>3405.89</v>
      </c>
      <c r="L24" s="200">
        <f t="shared" si="1"/>
        <v>387.1600000000003</v>
      </c>
      <c r="M24" s="228">
        <f t="shared" si="2"/>
        <v>1.1136736653268309</v>
      </c>
      <c r="N24" s="237">
        <f>E24-'січень 17'!E24</f>
        <v>170</v>
      </c>
      <c r="O24" s="237">
        <f>F24-'січень 17'!F24</f>
        <v>93.8100000000004</v>
      </c>
      <c r="P24" s="200">
        <f t="shared" si="6"/>
        <v>-76.1899999999996</v>
      </c>
      <c r="Q24" s="200">
        <f t="shared" si="9"/>
        <v>55.1823529411767</v>
      </c>
      <c r="R24" s="107"/>
      <c r="S24" s="108"/>
      <c r="T24" s="147">
        <f t="shared" si="8"/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54.17</v>
      </c>
      <c r="G25" s="171">
        <f t="shared" si="0"/>
        <v>3.3700000000000045</v>
      </c>
      <c r="H25" s="173">
        <f t="shared" si="3"/>
        <v>106.63385826771655</v>
      </c>
      <c r="I25" s="174">
        <f t="shared" si="4"/>
        <v>-765.83</v>
      </c>
      <c r="J25" s="174">
        <f t="shared" si="5"/>
        <v>6.60609756097561</v>
      </c>
      <c r="K25" s="174">
        <v>174.21</v>
      </c>
      <c r="L25" s="174">
        <f t="shared" si="1"/>
        <v>-120.04</v>
      </c>
      <c r="M25" s="212">
        <f t="shared" si="2"/>
        <v>0.3109465587509328</v>
      </c>
      <c r="N25" s="195">
        <f>E25-'січень 17'!E25</f>
        <v>5</v>
      </c>
      <c r="O25" s="179">
        <f>F25-'січень 17'!F25</f>
        <v>2.0900000000000034</v>
      </c>
      <c r="P25" s="177">
        <f t="shared" si="6"/>
        <v>-2.9099999999999966</v>
      </c>
      <c r="Q25" s="174">
        <f>O25/N25*100</f>
        <v>41.80000000000007</v>
      </c>
      <c r="R25" s="107"/>
      <c r="S25" s="108"/>
      <c r="T25" s="147">
        <f t="shared" si="8"/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13373.49</v>
      </c>
      <c r="G26" s="171">
        <f t="shared" si="0"/>
        <v>-14281.51</v>
      </c>
      <c r="H26" s="173">
        <f t="shared" si="3"/>
        <v>48.358307720122944</v>
      </c>
      <c r="I26" s="174">
        <f t="shared" si="4"/>
        <v>-169618.51</v>
      </c>
      <c r="J26" s="174">
        <f t="shared" si="5"/>
        <v>7.308237518580047</v>
      </c>
      <c r="K26" s="175">
        <v>21757.07</v>
      </c>
      <c r="L26" s="175">
        <f t="shared" si="1"/>
        <v>-8383.58</v>
      </c>
      <c r="M26" s="211">
        <f t="shared" si="2"/>
        <v>0.6146732992999517</v>
      </c>
      <c r="N26" s="195">
        <f>E26-'січень 17'!E26</f>
        <v>15105</v>
      </c>
      <c r="O26" s="179">
        <f>F26-'січень 17'!F26</f>
        <v>724.8999999999996</v>
      </c>
      <c r="P26" s="177">
        <f t="shared" si="6"/>
        <v>-14380.1</v>
      </c>
      <c r="Q26" s="174">
        <f>O26/N26*100</f>
        <v>4.799073154584573</v>
      </c>
      <c r="R26" s="107"/>
      <c r="S26" s="108"/>
      <c r="T26" s="147">
        <f t="shared" si="8"/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3961.22</v>
      </c>
      <c r="G27" s="198">
        <f t="shared" si="0"/>
        <v>-4218.780000000001</v>
      </c>
      <c r="H27" s="199">
        <f t="shared" si="3"/>
        <v>48.42567237163814</v>
      </c>
      <c r="I27" s="200">
        <f t="shared" si="4"/>
        <v>-53571.78</v>
      </c>
      <c r="J27" s="200">
        <f t="shared" si="5"/>
        <v>6.885126796794882</v>
      </c>
      <c r="K27" s="200">
        <v>6708.33</v>
      </c>
      <c r="L27" s="200">
        <f t="shared" si="1"/>
        <v>-2747.11</v>
      </c>
      <c r="M27" s="228">
        <f t="shared" si="2"/>
        <v>0.590492715772778</v>
      </c>
      <c r="N27" s="237">
        <f>E27-'січень 17'!E27</f>
        <v>4650</v>
      </c>
      <c r="O27" s="237">
        <f>F27-'січень 17'!F27</f>
        <v>161.35999999999967</v>
      </c>
      <c r="P27" s="200">
        <f t="shared" si="6"/>
        <v>-4488.64</v>
      </c>
      <c r="Q27" s="200">
        <f>O27/N27*100</f>
        <v>3.4701075268817134</v>
      </c>
      <c r="R27" s="107"/>
      <c r="S27" s="108"/>
      <c r="T27" s="147">
        <f t="shared" si="8"/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9412.27</v>
      </c>
      <c r="G28" s="198">
        <f t="shared" si="0"/>
        <v>-10062.73</v>
      </c>
      <c r="H28" s="199">
        <f t="shared" si="3"/>
        <v>48.330012836970475</v>
      </c>
      <c r="I28" s="200">
        <f t="shared" si="4"/>
        <v>-116046.73</v>
      </c>
      <c r="J28" s="200">
        <f t="shared" si="5"/>
        <v>7.502267673104361</v>
      </c>
      <c r="K28" s="200">
        <v>15048.75</v>
      </c>
      <c r="L28" s="200">
        <f t="shared" si="1"/>
        <v>-5636.48</v>
      </c>
      <c r="M28" s="228">
        <f t="shared" si="2"/>
        <v>0.6254519478361991</v>
      </c>
      <c r="N28" s="237">
        <f>E28-'січень 17'!E28</f>
        <v>10455</v>
      </c>
      <c r="O28" s="237">
        <f>F28-'січень 17'!F28</f>
        <v>563.5400000000009</v>
      </c>
      <c r="P28" s="200">
        <f t="shared" si="6"/>
        <v>-9891.46</v>
      </c>
      <c r="Q28" s="200">
        <f>O28/N28*100</f>
        <v>5.390148254423729</v>
      </c>
      <c r="R28" s="107"/>
      <c r="S28" s="108"/>
      <c r="T28" s="147">
        <f t="shared" si="8"/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 t="shared" si="6"/>
        <v>0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13.44</v>
      </c>
      <c r="G30" s="150">
        <f t="shared" si="0"/>
        <v>-1.5600000000000005</v>
      </c>
      <c r="H30" s="157">
        <f t="shared" si="3"/>
        <v>89.60000000000001</v>
      </c>
      <c r="I30" s="158">
        <f t="shared" si="4"/>
        <v>-101.56</v>
      </c>
      <c r="J30" s="158">
        <f t="shared" si="5"/>
        <v>11.686956521739129</v>
      </c>
      <c r="K30" s="158">
        <v>20.81</v>
      </c>
      <c r="L30" s="158">
        <f t="shared" si="1"/>
        <v>-7.369999999999999</v>
      </c>
      <c r="M30" s="210">
        <f>F30/K30</f>
        <v>0.6458433445458914</v>
      </c>
      <c r="N30" s="157">
        <f>E30-'січень 17'!E30</f>
        <v>12</v>
      </c>
      <c r="O30" s="160">
        <f>F30-'січень 17'!F30</f>
        <v>0.379999999999999</v>
      </c>
      <c r="P30" s="161">
        <f t="shared" si="6"/>
        <v>-11.620000000000001</v>
      </c>
      <c r="Q30" s="158">
        <f>O30/N30*100</f>
        <v>3.1666666666666585</v>
      </c>
      <c r="R30" s="107"/>
      <c r="S30" s="108"/>
      <c r="T30" s="147">
        <f t="shared" si="8"/>
        <v>100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-3.11</v>
      </c>
      <c r="G31" s="150">
        <f t="shared" si="0"/>
        <v>-3.11</v>
      </c>
      <c r="H31" s="157"/>
      <c r="I31" s="158">
        <f t="shared" si="4"/>
        <v>-3.11</v>
      </c>
      <c r="J31" s="158"/>
      <c r="K31" s="158">
        <v>-52.93</v>
      </c>
      <c r="L31" s="158">
        <f t="shared" si="1"/>
        <v>49.82</v>
      </c>
      <c r="M31" s="210">
        <f>F31/K31</f>
        <v>0.05875684866805214</v>
      </c>
      <c r="N31" s="157">
        <f>E31-'січень 17'!E31</f>
        <v>0</v>
      </c>
      <c r="O31" s="160">
        <f>F31-'січень 17'!F31</f>
        <v>-0.17999999999999972</v>
      </c>
      <c r="P31" s="161">
        <f t="shared" si="6"/>
        <v>-0.17999999999999972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28609.46</v>
      </c>
      <c r="G32" s="162">
        <f t="shared" si="0"/>
        <v>-15219.239999999998</v>
      </c>
      <c r="H32" s="164">
        <f t="shared" si="3"/>
        <v>65.27562989547945</v>
      </c>
      <c r="I32" s="165">
        <f t="shared" si="4"/>
        <v>-165784.64</v>
      </c>
      <c r="J32" s="165">
        <f t="shared" si="5"/>
        <v>14.717247076943178</v>
      </c>
      <c r="K32" s="178">
        <v>33594.51</v>
      </c>
      <c r="L32" s="178">
        <f>F32-K32</f>
        <v>-4985.050000000003</v>
      </c>
      <c r="M32" s="226">
        <f>F32/K32</f>
        <v>0.8516111709919268</v>
      </c>
      <c r="N32" s="157">
        <f>E32-'січень 17'!E32</f>
        <v>23609.999999999996</v>
      </c>
      <c r="O32" s="160">
        <f>F32-'січень 17'!F32</f>
        <v>7959.779999999999</v>
      </c>
      <c r="P32" s="167">
        <f t="shared" si="6"/>
        <v>-15650.219999999998</v>
      </c>
      <c r="Q32" s="165">
        <f>O32/N32*100</f>
        <v>33.71359593392631</v>
      </c>
      <c r="R32" s="107"/>
      <c r="S32" s="108"/>
      <c r="T32" s="147">
        <f t="shared" si="8"/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0.07</v>
      </c>
      <c r="L33" s="127">
        <f t="shared" si="1"/>
        <v>-0.07</v>
      </c>
      <c r="M33" s="216">
        <f aca="true" t="shared" si="10" ref="M33:M39">F33/K33</f>
        <v>0</v>
      </c>
      <c r="N33" s="105">
        <f>E33-'січень 17'!E33</f>
        <v>0</v>
      </c>
      <c r="O33" s="144">
        <f>F33-'січень 17'!F33</f>
        <v>0</v>
      </c>
      <c r="P33" s="106">
        <f t="shared" si="6"/>
        <v>0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5369.46</v>
      </c>
      <c r="G34" s="103">
        <f t="shared" si="0"/>
        <v>-3740.54</v>
      </c>
      <c r="H34" s="105">
        <f t="shared" si="3"/>
        <v>58.940285400658624</v>
      </c>
      <c r="I34" s="104">
        <f t="shared" si="4"/>
        <v>-35630.54</v>
      </c>
      <c r="J34" s="104">
        <f t="shared" si="5"/>
        <v>13.096243902439026</v>
      </c>
      <c r="K34" s="127">
        <v>8679.27</v>
      </c>
      <c r="L34" s="127">
        <f t="shared" si="1"/>
        <v>-3309.8100000000004</v>
      </c>
      <c r="M34" s="216">
        <f t="shared" si="10"/>
        <v>0.6186534120957177</v>
      </c>
      <c r="N34" s="105">
        <f>E34-'січень 17'!E34</f>
        <v>5610</v>
      </c>
      <c r="O34" s="144">
        <f>F34-'січень 17'!F34</f>
        <v>1784.4299999999998</v>
      </c>
      <c r="P34" s="106">
        <f t="shared" si="6"/>
        <v>-3825.57</v>
      </c>
      <c r="Q34" s="104">
        <f>O34/N34*100</f>
        <v>31.80802139037433</v>
      </c>
      <c r="R34" s="107"/>
      <c r="S34" s="108"/>
      <c r="T34" s="147">
        <f t="shared" si="8"/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23223.89</v>
      </c>
      <c r="G35" s="103">
        <f t="shared" si="0"/>
        <v>-11476.11</v>
      </c>
      <c r="H35" s="105">
        <f t="shared" si="3"/>
        <v>66.92763688760806</v>
      </c>
      <c r="I35" s="104">
        <f t="shared" si="4"/>
        <v>-130115.21</v>
      </c>
      <c r="J35" s="104">
        <f t="shared" si="5"/>
        <v>15.145445616936579</v>
      </c>
      <c r="K35" s="127">
        <v>24907.67</v>
      </c>
      <c r="L35" s="127">
        <f t="shared" si="1"/>
        <v>-1683.7799999999988</v>
      </c>
      <c r="M35" s="216">
        <f t="shared" si="10"/>
        <v>0.9323991364908882</v>
      </c>
      <c r="N35" s="105">
        <f>E35-'січень 17'!E35</f>
        <v>18000</v>
      </c>
      <c r="O35" s="144">
        <f>F35-'січень 17'!F35</f>
        <v>6175.3499999999985</v>
      </c>
      <c r="P35" s="106">
        <f t="shared" si="6"/>
        <v>-11824.650000000001</v>
      </c>
      <c r="Q35" s="104">
        <f>O35/N35*100</f>
        <v>34.30749999999999</v>
      </c>
      <c r="R35" s="107"/>
      <c r="S35" s="108"/>
      <c r="T35" s="147">
        <f t="shared" si="8"/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7.49</v>
      </c>
      <c r="L36" s="127">
        <f t="shared" si="1"/>
        <v>8.62</v>
      </c>
      <c r="M36" s="216">
        <f t="shared" si="10"/>
        <v>2.15086782376502</v>
      </c>
      <c r="N36" s="105">
        <f>E36-'січень 17'!E36</f>
        <v>0</v>
      </c>
      <c r="O36" s="144">
        <f>F36-'січень 17'!F36</f>
        <v>0</v>
      </c>
      <c r="P36" s="106">
        <f t="shared" si="6"/>
        <v>0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0</v>
      </c>
      <c r="L37" s="119">
        <f t="shared" si="1"/>
        <v>0</v>
      </c>
      <c r="M37" s="217" t="e">
        <f t="shared" si="10"/>
        <v>#DIV/0!</v>
      </c>
      <c r="N37" s="157">
        <f>E37-'січень 17'!E37</f>
        <v>0</v>
      </c>
      <c r="O37" s="160">
        <f>F37-'січень 17'!F37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7422.19</v>
      </c>
      <c r="G38" s="151">
        <f>G39+G40+G41+G42+G43+G45+G47+G48+G49+G50+G51+G56+G57+G61</f>
        <v>-338.31000000000006</v>
      </c>
      <c r="H38" s="152">
        <f>F38/E38*100</f>
        <v>95.4733023758377</v>
      </c>
      <c r="I38" s="153">
        <f>F38-D38</f>
        <v>-51602.81</v>
      </c>
      <c r="J38" s="153">
        <f>F38/D38*100</f>
        <v>12.574654807285048</v>
      </c>
      <c r="K38" s="151">
        <v>4916.44</v>
      </c>
      <c r="L38" s="151">
        <f t="shared" si="1"/>
        <v>2505.75</v>
      </c>
      <c r="M38" s="205">
        <f t="shared" si="10"/>
        <v>1.5096675643351694</v>
      </c>
      <c r="N38" s="151">
        <f>N39+N40+N41+N42+N43+N45+N47+N48+N49+N50+N51+N56+N57+N61+N44</f>
        <v>4786.3</v>
      </c>
      <c r="O38" s="151">
        <f>O39+O40+O41+O42+O43+O45+O47+O48+O49+O50+O51+O56+O57+O61+O44</f>
        <v>3194.4600000000005</v>
      </c>
      <c r="P38" s="151">
        <f>P39+P40+P41+P42+P43+P45+P47+P48+P49+P50+P51+P56+P57+P61</f>
        <v>-1585.04</v>
      </c>
      <c r="Q38" s="151">
        <f>O38/N38*100</f>
        <v>66.74174205544993</v>
      </c>
      <c r="R38" s="15" t="e">
        <f>#N/A</f>
        <v>#N/A</v>
      </c>
      <c r="S38" s="15" t="e">
        <f>#N/A</f>
        <v>#N/A</v>
      </c>
      <c r="T38" s="147">
        <f t="shared" si="8"/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8.18</v>
      </c>
      <c r="G39" s="162">
        <f>F39-E39</f>
        <v>-71.82</v>
      </c>
      <c r="H39" s="164"/>
      <c r="I39" s="165">
        <f>F39-D39</f>
        <v>-571.82</v>
      </c>
      <c r="J39" s="165">
        <f>F39/D39*100</f>
        <v>1.410344827586207</v>
      </c>
      <c r="K39" s="165">
        <v>78.05</v>
      </c>
      <c r="L39" s="165">
        <f t="shared" si="1"/>
        <v>-69.87</v>
      </c>
      <c r="M39" s="218">
        <f t="shared" si="10"/>
        <v>0.10480461242793081</v>
      </c>
      <c r="N39" s="164">
        <f>E39-'січень 17'!E39</f>
        <v>80</v>
      </c>
      <c r="O39" s="168">
        <f>F39-'січень 17'!F39</f>
        <v>0</v>
      </c>
      <c r="P39" s="167">
        <f>O39-N39</f>
        <v>-80</v>
      </c>
      <c r="Q39" s="165">
        <f aca="true" t="shared" si="11" ref="Q39:Q62">O39/N39*100</f>
        <v>0</v>
      </c>
      <c r="R39" s="37"/>
      <c r="S39" s="94"/>
      <c r="T39" s="147">
        <f t="shared" si="8"/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 aca="true" t="shared" si="12" ref="G40:G63">F40-E40</f>
        <v>-383.67999999999984</v>
      </c>
      <c r="H40" s="164"/>
      <c r="I40" s="165">
        <f aca="true" t="shared" si="13" ref="I40:I63">F40-D40</f>
        <v>-27883.68</v>
      </c>
      <c r="J40" s="165">
        <f>F40/D40*100</f>
        <v>7.054400000000001</v>
      </c>
      <c r="K40" s="165">
        <v>432.1</v>
      </c>
      <c r="L40" s="165">
        <f t="shared" si="1"/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 aca="true" t="shared" si="14" ref="P40:P63">O40-N40</f>
        <v>-383.67999999999984</v>
      </c>
      <c r="Q40" s="165">
        <f t="shared" si="11"/>
        <v>84.6528</v>
      </c>
      <c r="R40" s="37"/>
      <c r="S40" s="94"/>
      <c r="T40" s="147">
        <f t="shared" si="8"/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41.4</v>
      </c>
      <c r="G41" s="162">
        <f t="shared" si="12"/>
        <v>25.4</v>
      </c>
      <c r="H41" s="164">
        <f aca="true" t="shared" si="15" ref="H41:H62">F41/E41*100</f>
        <v>258.75</v>
      </c>
      <c r="I41" s="165">
        <f t="shared" si="13"/>
        <v>1.3999999999999986</v>
      </c>
      <c r="J41" s="165">
        <f aca="true" t="shared" si="16" ref="J41:J62">F41/D41*100</f>
        <v>103.49999999999999</v>
      </c>
      <c r="K41" s="165">
        <v>24.38</v>
      </c>
      <c r="L41" s="165">
        <f t="shared" si="1"/>
        <v>17.02</v>
      </c>
      <c r="M41" s="218">
        <f aca="true" t="shared" si="17" ref="M41:M63">F41/K41</f>
        <v>1.6981132075471699</v>
      </c>
      <c r="N41" s="164">
        <f>E41-'січень 17'!E41</f>
        <v>6</v>
      </c>
      <c r="O41" s="168">
        <f>F41-'січень 17'!F41</f>
        <v>26.53</v>
      </c>
      <c r="P41" s="167">
        <f t="shared" si="14"/>
        <v>20.53</v>
      </c>
      <c r="Q41" s="165"/>
      <c r="R41" s="37"/>
      <c r="S41" s="94"/>
      <c r="T41" s="147">
        <f t="shared" si="8"/>
        <v>24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 t="shared" si="12"/>
        <v>0</v>
      </c>
      <c r="H42" s="164"/>
      <c r="I42" s="165">
        <f t="shared" si="13"/>
        <v>0</v>
      </c>
      <c r="J42" s="165"/>
      <c r="K42" s="165">
        <v>1.02</v>
      </c>
      <c r="L42" s="165">
        <f t="shared" si="1"/>
        <v>-1.02</v>
      </c>
      <c r="M42" s="218">
        <f t="shared" si="17"/>
        <v>0</v>
      </c>
      <c r="N42" s="164">
        <f>E42-'січень 17'!E42</f>
        <v>0</v>
      </c>
      <c r="O42" s="168">
        <f>F42-'січень 17'!F42</f>
        <v>0</v>
      </c>
      <c r="P42" s="167">
        <f t="shared" si="14"/>
        <v>0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14.67</v>
      </c>
      <c r="G43" s="162">
        <f t="shared" si="12"/>
        <v>-25.33</v>
      </c>
      <c r="H43" s="164">
        <f t="shared" si="15"/>
        <v>36.675000000000004</v>
      </c>
      <c r="I43" s="165">
        <f t="shared" si="13"/>
        <v>-245.33</v>
      </c>
      <c r="J43" s="165">
        <f t="shared" si="16"/>
        <v>5.642307692307693</v>
      </c>
      <c r="K43" s="165">
        <v>3.65</v>
      </c>
      <c r="L43" s="165">
        <f t="shared" si="1"/>
        <v>11.02</v>
      </c>
      <c r="M43" s="218">
        <f t="shared" si="17"/>
        <v>4.019178082191781</v>
      </c>
      <c r="N43" s="164">
        <f>E43-'січень 17'!E43</f>
        <v>20</v>
      </c>
      <c r="O43" s="168">
        <f>F43-'січень 17'!F43</f>
        <v>3.5</v>
      </c>
      <c r="P43" s="167">
        <f t="shared" si="14"/>
        <v>-16.5</v>
      </c>
      <c r="Q43" s="165">
        <f t="shared" si="11"/>
        <v>17.5</v>
      </c>
      <c r="R43" s="37"/>
      <c r="S43" s="94"/>
      <c r="T43" s="147">
        <f t="shared" si="8"/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 t="shared" si="12"/>
        <v>-13.6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 t="shared" si="8"/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124.07</v>
      </c>
      <c r="G45" s="162">
        <f t="shared" si="12"/>
        <v>4.069999999999993</v>
      </c>
      <c r="H45" s="164">
        <f t="shared" si="15"/>
        <v>103.39166666666667</v>
      </c>
      <c r="I45" s="165">
        <f t="shared" si="13"/>
        <v>-605.9300000000001</v>
      </c>
      <c r="J45" s="165">
        <f t="shared" si="16"/>
        <v>16.995890410958904</v>
      </c>
      <c r="K45" s="165">
        <v>0</v>
      </c>
      <c r="L45" s="165">
        <f t="shared" si="1"/>
        <v>124.07</v>
      </c>
      <c r="M45" s="218"/>
      <c r="N45" s="164">
        <f>E45-'січень 17'!E45</f>
        <v>60</v>
      </c>
      <c r="O45" s="168">
        <f>F45-'січень 17'!F45</f>
        <v>34.61999999999999</v>
      </c>
      <c r="P45" s="167">
        <f t="shared" si="14"/>
        <v>-25.38000000000001</v>
      </c>
      <c r="Q45" s="165">
        <f t="shared" si="11"/>
        <v>57.69999999999998</v>
      </c>
      <c r="R45" s="37"/>
      <c r="S45" s="94"/>
      <c r="T45" s="147">
        <f t="shared" si="8"/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7"/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1386.38</v>
      </c>
      <c r="G47" s="162">
        <f t="shared" si="12"/>
        <v>-13.61999999999989</v>
      </c>
      <c r="H47" s="164">
        <f t="shared" si="15"/>
        <v>99.02714285714286</v>
      </c>
      <c r="I47" s="165">
        <f t="shared" si="13"/>
        <v>-9613.619999999999</v>
      </c>
      <c r="J47" s="165">
        <f t="shared" si="16"/>
        <v>12.603454545454545</v>
      </c>
      <c r="K47" s="165">
        <v>1351.17</v>
      </c>
      <c r="L47" s="165">
        <f t="shared" si="1"/>
        <v>35.210000000000036</v>
      </c>
      <c r="M47" s="218">
        <f t="shared" si="17"/>
        <v>1.0260588971039915</v>
      </c>
      <c r="N47" s="164">
        <f>E47-'січень 17'!E47</f>
        <v>800</v>
      </c>
      <c r="O47" s="168">
        <f>F47-'січень 17'!F47</f>
        <v>333.82000000000016</v>
      </c>
      <c r="P47" s="167">
        <f t="shared" si="14"/>
        <v>-466.17999999999984</v>
      </c>
      <c r="Q47" s="165">
        <f t="shared" si="11"/>
        <v>41.72750000000002</v>
      </c>
      <c r="R47" s="37"/>
      <c r="S47" s="94"/>
      <c r="T47" s="147">
        <f t="shared" si="8"/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58.95</v>
      </c>
      <c r="G48" s="162">
        <f t="shared" si="12"/>
        <v>8.950000000000003</v>
      </c>
      <c r="H48" s="164">
        <f t="shared" si="15"/>
        <v>117.9</v>
      </c>
      <c r="I48" s="165">
        <f t="shared" si="13"/>
        <v>-251.05</v>
      </c>
      <c r="J48" s="165">
        <f t="shared" si="16"/>
        <v>19.016129032258068</v>
      </c>
      <c r="K48" s="165">
        <v>1.03</v>
      </c>
      <c r="L48" s="165">
        <f t="shared" si="1"/>
        <v>57.92</v>
      </c>
      <c r="M48" s="218"/>
      <c r="N48" s="164">
        <f>E48-'січень 17'!E48</f>
        <v>25</v>
      </c>
      <c r="O48" s="168">
        <f>F48-'січень 17'!F48</f>
        <v>14.420000000000002</v>
      </c>
      <c r="P48" s="167">
        <f t="shared" si="14"/>
        <v>-10.579999999999998</v>
      </c>
      <c r="Q48" s="165"/>
      <c r="R48" s="37"/>
      <c r="S48" s="94"/>
      <c r="T48" s="147">
        <f t="shared" si="8"/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 t="shared" si="12"/>
        <v>-2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 t="shared" si="14"/>
        <v>-1</v>
      </c>
      <c r="Q49" s="165">
        <f t="shared" si="11"/>
        <v>0</v>
      </c>
      <c r="R49" s="37"/>
      <c r="S49" s="94"/>
      <c r="T49" s="147">
        <f t="shared" si="8"/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 t="shared" si="12"/>
        <v>-36.65000000000009</v>
      </c>
      <c r="H50" s="164">
        <f t="shared" si="15"/>
        <v>96.94583333333333</v>
      </c>
      <c r="I50" s="165">
        <f t="shared" si="13"/>
        <v>-6111.65</v>
      </c>
      <c r="J50" s="165">
        <f t="shared" si="16"/>
        <v>15.991065292096218</v>
      </c>
      <c r="K50" s="165">
        <v>1303.34</v>
      </c>
      <c r="L50" s="165">
        <f t="shared" si="1"/>
        <v>-139.99</v>
      </c>
      <c r="M50" s="218">
        <f t="shared" si="17"/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 t="shared" si="14"/>
        <v>-121.6400000000001</v>
      </c>
      <c r="Q50" s="165">
        <f t="shared" si="11"/>
        <v>79.72666666666665</v>
      </c>
      <c r="R50" s="37"/>
      <c r="S50" s="94"/>
      <c r="T50" s="147">
        <f t="shared" si="8"/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55.9</v>
      </c>
      <c r="G51" s="162">
        <f t="shared" si="12"/>
        <v>-84.1</v>
      </c>
      <c r="H51" s="164">
        <f t="shared" si="15"/>
        <v>39.92857142857143</v>
      </c>
      <c r="I51" s="165">
        <f t="shared" si="13"/>
        <v>-1144.1</v>
      </c>
      <c r="J51" s="165">
        <f t="shared" si="16"/>
        <v>4.658333333333333</v>
      </c>
      <c r="K51" s="165">
        <v>965.16</v>
      </c>
      <c r="L51" s="165">
        <f t="shared" si="1"/>
        <v>-909.26</v>
      </c>
      <c r="M51" s="218">
        <f t="shared" si="17"/>
        <v>0.057917858178954784</v>
      </c>
      <c r="N51" s="164">
        <f>E51-'січень 17'!E51</f>
        <v>85</v>
      </c>
      <c r="O51" s="168">
        <f>F51-'січень 17'!F51</f>
        <v>15.809999999999995</v>
      </c>
      <c r="P51" s="167">
        <f t="shared" si="14"/>
        <v>-69.19</v>
      </c>
      <c r="Q51" s="165">
        <f t="shared" si="11"/>
        <v>18.599999999999994</v>
      </c>
      <c r="R51" s="37"/>
      <c r="S51" s="94"/>
      <c r="T51" s="147">
        <f t="shared" si="8"/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46.45</v>
      </c>
      <c r="G52" s="34">
        <f t="shared" si="12"/>
        <v>-63.55</v>
      </c>
      <c r="H52" s="30">
        <f t="shared" si="15"/>
        <v>42.22727272727273</v>
      </c>
      <c r="I52" s="104">
        <f t="shared" si="13"/>
        <v>-951.55</v>
      </c>
      <c r="J52" s="104">
        <f t="shared" si="16"/>
        <v>4.654308617234469</v>
      </c>
      <c r="K52" s="104">
        <v>86.43</v>
      </c>
      <c r="L52" s="104">
        <f>F52-K52</f>
        <v>-39.980000000000004</v>
      </c>
      <c r="M52" s="109">
        <f t="shared" si="17"/>
        <v>0.5374291334027537</v>
      </c>
      <c r="N52" s="164">
        <f>E52-'січень 17'!E52</f>
        <v>70</v>
      </c>
      <c r="O52" s="168">
        <f>F52-'січень 17'!F52</f>
        <v>13.64</v>
      </c>
      <c r="P52" s="106">
        <f t="shared" si="14"/>
        <v>-56.36</v>
      </c>
      <c r="Q52" s="119">
        <f t="shared" si="11"/>
        <v>19.485714285714288</v>
      </c>
      <c r="R52" s="37"/>
      <c r="S52" s="94"/>
      <c r="T52" s="147">
        <f t="shared" si="8"/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0.05</v>
      </c>
      <c r="G53" s="34">
        <f t="shared" si="12"/>
        <v>0.05</v>
      </c>
      <c r="H53" s="30" t="e">
        <f t="shared" si="15"/>
        <v>#DIV/0!</v>
      </c>
      <c r="I53" s="104">
        <f t="shared" si="13"/>
        <v>-0.95</v>
      </c>
      <c r="J53" s="104">
        <f t="shared" si="16"/>
        <v>5</v>
      </c>
      <c r="K53" s="104">
        <v>0.08</v>
      </c>
      <c r="L53" s="104">
        <f>F53-K53</f>
        <v>-0.03</v>
      </c>
      <c r="M53" s="109">
        <f t="shared" si="17"/>
        <v>0.625</v>
      </c>
      <c r="N53" s="164">
        <f>E53-'січень 17'!E53</f>
        <v>0</v>
      </c>
      <c r="O53" s="168">
        <f>F53-'січень 17'!F53</f>
        <v>0.04</v>
      </c>
      <c r="P53" s="106">
        <f t="shared" si="14"/>
        <v>0.04</v>
      </c>
      <c r="Q53" s="119" t="e">
        <f t="shared" si="11"/>
        <v>#DIV/0!</v>
      </c>
      <c r="R53" s="37"/>
      <c r="S53" s="94"/>
      <c r="T53" s="147">
        <f t="shared" si="8"/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64">
        <f>E54-'січень 17'!E54</f>
        <v>0</v>
      </c>
      <c r="O54" s="168">
        <f>F54-'січень 17'!F54</f>
        <v>0</v>
      </c>
      <c r="P54" s="106">
        <f t="shared" si="14"/>
        <v>0</v>
      </c>
      <c r="Q54" s="119"/>
      <c r="R54" s="37"/>
      <c r="S54" s="94"/>
      <c r="T54" s="147">
        <f t="shared" si="8"/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9.41</v>
      </c>
      <c r="G55" s="34">
        <f t="shared" si="12"/>
        <v>-20.59</v>
      </c>
      <c r="H55" s="30">
        <f t="shared" si="15"/>
        <v>31.366666666666664</v>
      </c>
      <c r="I55" s="104">
        <f t="shared" si="13"/>
        <v>-190.59</v>
      </c>
      <c r="J55" s="104">
        <f t="shared" si="16"/>
        <v>4.705</v>
      </c>
      <c r="K55" s="104">
        <v>878.65</v>
      </c>
      <c r="L55" s="104">
        <f>F55-K55</f>
        <v>-869.24</v>
      </c>
      <c r="M55" s="109">
        <f t="shared" si="17"/>
        <v>0.010709611335571616</v>
      </c>
      <c r="N55" s="164">
        <f>E55-'січень 17'!E55</f>
        <v>15</v>
      </c>
      <c r="O55" s="168">
        <f>F55-'січень 17'!F55</f>
        <v>2.1400000000000006</v>
      </c>
      <c r="P55" s="106">
        <f t="shared" si="14"/>
        <v>-12.86</v>
      </c>
      <c r="Q55" s="119">
        <f t="shared" si="11"/>
        <v>14.26666666666667</v>
      </c>
      <c r="R55" s="37"/>
      <c r="S55" s="94"/>
      <c r="T55" s="147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 t="shared" si="12"/>
        <v>-0.8300000000000001</v>
      </c>
      <c r="H56" s="164"/>
      <c r="I56" s="165">
        <f t="shared" si="13"/>
        <v>-0.8300000000000001</v>
      </c>
      <c r="J56" s="165">
        <f t="shared" si="16"/>
        <v>66.8</v>
      </c>
      <c r="K56" s="165">
        <v>2.46</v>
      </c>
      <c r="L56" s="165">
        <f>F56-K56</f>
        <v>-0.79</v>
      </c>
      <c r="M56" s="218">
        <f t="shared" si="17"/>
        <v>0.6788617886178862</v>
      </c>
      <c r="N56" s="164">
        <f>E56-'січень 17'!E56</f>
        <v>2.5</v>
      </c>
      <c r="O56" s="168">
        <f>F56-'січень 17'!F56</f>
        <v>0</v>
      </c>
      <c r="P56" s="167">
        <f t="shared" si="14"/>
        <v>-2.5</v>
      </c>
      <c r="Q56" s="165"/>
      <c r="R56" s="37"/>
      <c r="S56" s="94"/>
      <c r="T56" s="147">
        <f t="shared" si="8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2418.41</v>
      </c>
      <c r="G57" s="162">
        <f t="shared" si="12"/>
        <v>218.40999999999985</v>
      </c>
      <c r="H57" s="164">
        <f t="shared" si="15"/>
        <v>109.92772727272725</v>
      </c>
      <c r="I57" s="165">
        <f t="shared" si="13"/>
        <v>-4931.59</v>
      </c>
      <c r="J57" s="165">
        <f t="shared" si="16"/>
        <v>32.90353741496598</v>
      </c>
      <c r="K57" s="165">
        <v>722.66</v>
      </c>
      <c r="L57" s="165">
        <f aca="true" t="shared" si="18" ref="L57:L63">F57-K57</f>
        <v>1695.75</v>
      </c>
      <c r="M57" s="218">
        <f t="shared" si="17"/>
        <v>3.346539174715634</v>
      </c>
      <c r="N57" s="164">
        <f>E57-'січень 17'!E57</f>
        <v>600</v>
      </c>
      <c r="O57" s="168">
        <f>F57-'січень 17'!F57</f>
        <v>171.07999999999993</v>
      </c>
      <c r="P57" s="167">
        <f t="shared" si="14"/>
        <v>-428.9200000000001</v>
      </c>
      <c r="Q57" s="165">
        <f t="shared" si="11"/>
        <v>28.513333333333325</v>
      </c>
      <c r="R57" s="37"/>
      <c r="S57" s="94"/>
      <c r="T57" s="147">
        <f t="shared" si="8"/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18" t="e">
        <f t="shared" si="17"/>
        <v>#DIV/0!</v>
      </c>
      <c r="N58" s="164">
        <f>E58-'січень 17'!E58</f>
        <v>0</v>
      </c>
      <c r="O58" s="168">
        <f>F58-'січень 17'!F58</f>
        <v>0</v>
      </c>
      <c r="P58" s="167">
        <f t="shared" si="14"/>
        <v>0</v>
      </c>
      <c r="Q58" s="165" t="e">
        <f t="shared" si="11"/>
        <v>#DIV/0!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226.77</v>
      </c>
      <c r="G59" s="162"/>
      <c r="H59" s="164"/>
      <c r="I59" s="165"/>
      <c r="J59" s="165"/>
      <c r="K59" s="166">
        <v>147.3</v>
      </c>
      <c r="L59" s="165">
        <f t="shared" si="18"/>
        <v>79.47</v>
      </c>
      <c r="M59" s="218">
        <f t="shared" si="17"/>
        <v>1.5395112016293278</v>
      </c>
      <c r="N59" s="164">
        <f>E59-'січень 17'!E59</f>
        <v>0</v>
      </c>
      <c r="O59" s="168">
        <f>F59-'січень 17'!F59</f>
        <v>59.56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18" t="e">
        <f t="shared" si="17"/>
        <v>#DIV/0!</v>
      </c>
      <c r="N60" s="164">
        <f>E60-'січень 17'!E60</f>
        <v>0</v>
      </c>
      <c r="O60" s="168">
        <f>F60-'січень 17'!F60</f>
        <v>0</v>
      </c>
      <c r="P60" s="167">
        <f t="shared" si="14"/>
        <v>0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2"/>
        <v>22.89</v>
      </c>
      <c r="H61" s="164">
        <f t="shared" si="15"/>
        <v>328.90000000000003</v>
      </c>
      <c r="I61" s="165">
        <f t="shared" si="13"/>
        <v>-127.11</v>
      </c>
      <c r="J61" s="165">
        <f t="shared" si="16"/>
        <v>20.556250000000002</v>
      </c>
      <c r="K61" s="165">
        <v>32.19</v>
      </c>
      <c r="L61" s="165">
        <f t="shared" si="18"/>
        <v>0.7000000000000028</v>
      </c>
      <c r="M61" s="218">
        <f t="shared" si="17"/>
        <v>1.0217458838148494</v>
      </c>
      <c r="N61" s="164">
        <f>E61-'січень 17'!E61</f>
        <v>0</v>
      </c>
      <c r="O61" s="168">
        <f>F61-'січень 17'!F61</f>
        <v>0</v>
      </c>
      <c r="P61" s="167">
        <f t="shared" si="14"/>
        <v>0</v>
      </c>
      <c r="Q61" s="165"/>
      <c r="R61" s="37"/>
      <c r="S61" s="94"/>
      <c r="T61" s="147">
        <f t="shared" si="8"/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4.24</v>
      </c>
      <c r="G62" s="162">
        <f t="shared" si="12"/>
        <v>1.7400000000000002</v>
      </c>
      <c r="H62" s="164">
        <f t="shared" si="15"/>
        <v>169.60000000000002</v>
      </c>
      <c r="I62" s="165">
        <f t="shared" si="13"/>
        <v>-10.76</v>
      </c>
      <c r="J62" s="165">
        <f t="shared" si="16"/>
        <v>28.26666666666667</v>
      </c>
      <c r="K62" s="165">
        <v>3.8</v>
      </c>
      <c r="L62" s="165">
        <f t="shared" si="18"/>
        <v>0.4400000000000004</v>
      </c>
      <c r="M62" s="218">
        <f t="shared" si="17"/>
        <v>1.1157894736842107</v>
      </c>
      <c r="N62" s="164">
        <f>E62-'січень 17'!E62</f>
        <v>1.3</v>
      </c>
      <c r="O62" s="168">
        <f>F62-'січень 17'!F62</f>
        <v>2.75</v>
      </c>
      <c r="P62" s="167">
        <f t="shared" si="14"/>
        <v>1.45</v>
      </c>
      <c r="Q62" s="165">
        <f t="shared" si="11"/>
        <v>211.53846153846155</v>
      </c>
      <c r="R62" s="37"/>
      <c r="S62" s="94"/>
      <c r="T62" s="147">
        <f t="shared" si="8"/>
        <v>12.5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 t="shared" si="12"/>
        <v>0</v>
      </c>
      <c r="H63" s="164"/>
      <c r="I63" s="165">
        <f t="shared" si="13"/>
        <v>0</v>
      </c>
      <c r="J63" s="165"/>
      <c r="K63" s="165">
        <v>0.54</v>
      </c>
      <c r="L63" s="165">
        <f t="shared" si="18"/>
        <v>-0.54</v>
      </c>
      <c r="M63" s="218">
        <f t="shared" si="17"/>
        <v>0</v>
      </c>
      <c r="N63" s="164">
        <f>E63-'січень 17'!E63</f>
        <v>0</v>
      </c>
      <c r="O63" s="168">
        <f>F63-'січень 17'!F63</f>
        <v>0</v>
      </c>
      <c r="P63" s="167">
        <f t="shared" si="14"/>
        <v>0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125313.24</v>
      </c>
      <c r="G64" s="151">
        <f>F64-E64</f>
        <v>-78708.86</v>
      </c>
      <c r="H64" s="152">
        <f>F64/E64*100</f>
        <v>61.4214048380053</v>
      </c>
      <c r="I64" s="153">
        <f>F64-D64</f>
        <v>-1232177.86</v>
      </c>
      <c r="J64" s="153">
        <f>F64/D64*100</f>
        <v>9.231238422115622</v>
      </c>
      <c r="K64" s="153">
        <v>145343.26</v>
      </c>
      <c r="L64" s="153">
        <f>F64-K64</f>
        <v>-20030.020000000004</v>
      </c>
      <c r="M64" s="219">
        <f>F64/K64</f>
        <v>0.8621881743948773</v>
      </c>
      <c r="N64" s="151">
        <f>N8+N38+N62+N63</f>
        <v>106665.6</v>
      </c>
      <c r="O64" s="151">
        <f>O8+O38+O62+O63</f>
        <v>27227.049999999996</v>
      </c>
      <c r="P64" s="155">
        <f>O64-N64</f>
        <v>-79438.55000000002</v>
      </c>
      <c r="Q64" s="153">
        <f>O64/N64*100</f>
        <v>25.525614631146304</v>
      </c>
      <c r="R64" s="27">
        <f>O64-34768</f>
        <v>-7540.950000000004</v>
      </c>
      <c r="S64" s="115">
        <f>O64/34768</f>
        <v>0.7831065922687528</v>
      </c>
      <c r="T64" s="147">
        <f t="shared" si="8"/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 t="shared" si="8"/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 t="shared" si="8"/>
        <v>0</v>
      </c>
      <c r="U71" s="78"/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1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0.05</v>
      </c>
      <c r="G73" s="162">
        <f aca="true" t="shared" si="19" ref="G73:G84">F73-E73</f>
        <v>0.05</v>
      </c>
      <c r="H73" s="164"/>
      <c r="I73" s="167">
        <f aca="true" t="shared" si="20" ref="I73:I84">F73-D73</f>
        <v>-3999.95</v>
      </c>
      <c r="J73" s="167">
        <f>F73/D73*100</f>
        <v>0.00125</v>
      </c>
      <c r="K73" s="167">
        <v>0.1</v>
      </c>
      <c r="L73" s="167">
        <f aca="true" t="shared" si="21" ref="L73:L84">F73-K73</f>
        <v>-0.05</v>
      </c>
      <c r="M73" s="209">
        <f>F73/K73</f>
        <v>0.5</v>
      </c>
      <c r="N73" s="164">
        <f>E73-'січень 17'!E73</f>
        <v>0</v>
      </c>
      <c r="O73" s="168">
        <f>F73-'січень 17'!F73</f>
        <v>0.010000000000000002</v>
      </c>
      <c r="P73" s="167">
        <f aca="true" t="shared" si="22" ref="P73:P86">O73-N73</f>
        <v>0.010000000000000002</v>
      </c>
      <c r="Q73" s="167" t="e">
        <f>O73/N73*100</f>
        <v>#DIV/0!</v>
      </c>
      <c r="R73" s="38"/>
      <c r="S73" s="97"/>
      <c r="T73" s="147">
        <f t="shared" si="8"/>
        <v>4000</v>
      </c>
      <c r="U73" s="4">
        <v>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1230</v>
      </c>
      <c r="F74" s="181">
        <v>11.69</v>
      </c>
      <c r="G74" s="162">
        <f t="shared" si="19"/>
        <v>-1218.31</v>
      </c>
      <c r="H74" s="164">
        <f>F74/E74*100</f>
        <v>0.9504065040650406</v>
      </c>
      <c r="I74" s="167">
        <f t="shared" si="20"/>
        <v>-7988.31</v>
      </c>
      <c r="J74" s="167">
        <f>F74/D74*100</f>
        <v>0.14612499999999998</v>
      </c>
      <c r="K74" s="167">
        <v>376.67</v>
      </c>
      <c r="L74" s="167">
        <f t="shared" si="21"/>
        <v>-364.98</v>
      </c>
      <c r="M74" s="209">
        <f>F74/K74</f>
        <v>0.03103512358297714</v>
      </c>
      <c r="N74" s="164">
        <f>E74-'січень 17'!E74</f>
        <v>630</v>
      </c>
      <c r="O74" s="168">
        <f>F74-'січень 17'!F74</f>
        <v>9.79</v>
      </c>
      <c r="P74" s="167">
        <f t="shared" si="22"/>
        <v>-620.21</v>
      </c>
      <c r="Q74" s="167">
        <f>O74/N74*100</f>
        <v>1.553968253968254</v>
      </c>
      <c r="R74" s="38"/>
      <c r="S74" s="97"/>
      <c r="T74" s="147">
        <f aca="true" t="shared" si="23" ref="T74:T90">D74-E74</f>
        <v>6770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800</v>
      </c>
      <c r="F75" s="181">
        <v>317.33</v>
      </c>
      <c r="G75" s="162">
        <f t="shared" si="19"/>
        <v>-482.67</v>
      </c>
      <c r="H75" s="164">
        <f>F75/E75*100</f>
        <v>39.66625</v>
      </c>
      <c r="I75" s="167">
        <f t="shared" si="20"/>
        <v>-9682.67</v>
      </c>
      <c r="J75" s="167">
        <f>F75/D75*100</f>
        <v>3.1733</v>
      </c>
      <c r="K75" s="167">
        <v>646.84</v>
      </c>
      <c r="L75" s="167">
        <f t="shared" si="21"/>
        <v>-329.51000000000005</v>
      </c>
      <c r="M75" s="209">
        <f>F75/K75</f>
        <v>0.49058499783563164</v>
      </c>
      <c r="N75" s="164">
        <f>E75-'січень 17'!E75</f>
        <v>400</v>
      </c>
      <c r="O75" s="168">
        <f>F75-'січень 17'!F75</f>
        <v>227.20999999999998</v>
      </c>
      <c r="P75" s="167">
        <f t="shared" si="22"/>
        <v>-172.79000000000002</v>
      </c>
      <c r="Q75" s="167">
        <f>O75/N75*100</f>
        <v>56.8025</v>
      </c>
      <c r="R75" s="38"/>
      <c r="S75" s="97"/>
      <c r="T75" s="147">
        <f t="shared" si="23"/>
        <v>9200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 t="shared" si="19"/>
        <v>0</v>
      </c>
      <c r="H76" s="164">
        <f>F76/E76*100</f>
        <v>100</v>
      </c>
      <c r="I76" s="167">
        <f t="shared" si="20"/>
        <v>-10</v>
      </c>
      <c r="J76" s="167">
        <f>F76/D76*100</f>
        <v>16.666666666666664</v>
      </c>
      <c r="K76" s="167">
        <v>2</v>
      </c>
      <c r="L76" s="167">
        <f t="shared" si="21"/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 t="shared" si="22"/>
        <v>0</v>
      </c>
      <c r="Q76" s="167">
        <f>O76/N76*100</f>
        <v>100</v>
      </c>
      <c r="R76" s="38"/>
      <c r="S76" s="136"/>
      <c r="T76" s="147">
        <f t="shared" si="23"/>
        <v>10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2032</v>
      </c>
      <c r="F77" s="184">
        <f>F73+F74+F75+F76</f>
        <v>331.07</v>
      </c>
      <c r="G77" s="185">
        <f t="shared" si="19"/>
        <v>-1700.93</v>
      </c>
      <c r="H77" s="186">
        <f>F77/E77*100</f>
        <v>16.29281496062992</v>
      </c>
      <c r="I77" s="187">
        <f t="shared" si="20"/>
        <v>-21680.93</v>
      </c>
      <c r="J77" s="187">
        <f>F77/D77*100</f>
        <v>1.5040432491368345</v>
      </c>
      <c r="K77" s="187">
        <v>1025.62</v>
      </c>
      <c r="L77" s="187">
        <f t="shared" si="21"/>
        <v>-694.55</v>
      </c>
      <c r="M77" s="214">
        <f>F77/K77</f>
        <v>0.32279986739728167</v>
      </c>
      <c r="N77" s="185">
        <f>N73+N74+N75+N76</f>
        <v>1031</v>
      </c>
      <c r="O77" s="189">
        <f>O73+O74+O75+O76</f>
        <v>238.01</v>
      </c>
      <c r="P77" s="187">
        <f t="shared" si="22"/>
        <v>-792.99</v>
      </c>
      <c r="Q77" s="187">
        <f>O77/N77*100</f>
        <v>23.085354025218233</v>
      </c>
      <c r="R77" s="39"/>
      <c r="S77" s="116"/>
      <c r="T77" s="147">
        <f t="shared" si="23"/>
        <v>19980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1.09</v>
      </c>
      <c r="G78" s="162">
        <f t="shared" si="19"/>
        <v>1.09</v>
      </c>
      <c r="H78" s="164"/>
      <c r="I78" s="167">
        <f t="shared" si="20"/>
        <v>-38.91</v>
      </c>
      <c r="J78" s="167"/>
      <c r="K78" s="167">
        <v>0.01</v>
      </c>
      <c r="L78" s="167">
        <f t="shared" si="21"/>
        <v>1.08</v>
      </c>
      <c r="M78" s="209">
        <f>F78/K78</f>
        <v>109</v>
      </c>
      <c r="N78" s="164">
        <f>E78-'січень 17'!E78</f>
        <v>0</v>
      </c>
      <c r="O78" s="168">
        <f>F78-'січень 17'!F78</f>
        <v>0.75</v>
      </c>
      <c r="P78" s="167">
        <f t="shared" si="22"/>
        <v>0.75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 t="shared" si="22"/>
        <v>0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17.28</v>
      </c>
      <c r="G80" s="162">
        <f t="shared" si="19"/>
        <v>-2332.72</v>
      </c>
      <c r="H80" s="164">
        <f>F80/E80*100</f>
        <v>0.7353191489361702</v>
      </c>
      <c r="I80" s="167">
        <f t="shared" si="20"/>
        <v>-8342.72</v>
      </c>
      <c r="J80" s="167">
        <f>F80/D80*100</f>
        <v>0.20669856459330144</v>
      </c>
      <c r="K80" s="167">
        <v>2013.66</v>
      </c>
      <c r="L80" s="167">
        <f t="shared" si="21"/>
        <v>-1996.38</v>
      </c>
      <c r="M80" s="209"/>
      <c r="N80" s="164">
        <f>E80-'січень 17'!E80</f>
        <v>2342.5</v>
      </c>
      <c r="O80" s="168">
        <f>F80-'січень 17'!F80</f>
        <v>5.800000000000001</v>
      </c>
      <c r="P80" s="167">
        <f>O80-N80</f>
        <v>-2336.7</v>
      </c>
      <c r="Q80" s="190">
        <f>O80/N80*100</f>
        <v>0.24759871931696908</v>
      </c>
      <c r="R80" s="41"/>
      <c r="S80" s="99"/>
      <c r="T80" s="147">
        <f t="shared" si="23"/>
        <v>6010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 t="shared" si="19"/>
        <v>0</v>
      </c>
      <c r="H81" s="164"/>
      <c r="I81" s="167">
        <f t="shared" si="20"/>
        <v>0</v>
      </c>
      <c r="J81" s="167"/>
      <c r="K81" s="167">
        <v>1.31</v>
      </c>
      <c r="L81" s="167">
        <f t="shared" si="21"/>
        <v>-1.31</v>
      </c>
      <c r="M81" s="209">
        <f aca="true" t="shared" si="24" ref="M81:M86">F81/K81</f>
        <v>0</v>
      </c>
      <c r="N81" s="164">
        <f>E81-'січень 17'!E81</f>
        <v>0</v>
      </c>
      <c r="O81" s="168">
        <f>F81-'січень 17'!F81</f>
        <v>0</v>
      </c>
      <c r="P81" s="167">
        <f t="shared" si="22"/>
        <v>0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18.37</v>
      </c>
      <c r="G82" s="183">
        <f>G78+G81+G79+G80</f>
        <v>-2331.6299999999997</v>
      </c>
      <c r="H82" s="186">
        <f>F82/E82*100</f>
        <v>0.7817021276595745</v>
      </c>
      <c r="I82" s="187">
        <f t="shared" si="20"/>
        <v>-8381.63</v>
      </c>
      <c r="J82" s="187">
        <f>F82/D82*100</f>
        <v>0.21869047619047619</v>
      </c>
      <c r="K82" s="187">
        <v>2013.84</v>
      </c>
      <c r="L82" s="187">
        <f t="shared" si="21"/>
        <v>-1995.47</v>
      </c>
      <c r="M82" s="220">
        <f t="shared" si="24"/>
        <v>0.009121876613832281</v>
      </c>
      <c r="N82" s="185">
        <f>N78+N81+N79+N80</f>
        <v>2342.5</v>
      </c>
      <c r="O82" s="189">
        <f>O78+O81+O79+O80</f>
        <v>6.550000000000001</v>
      </c>
      <c r="P82" s="185">
        <f>P78+P81+P79+P80</f>
        <v>-2335.95</v>
      </c>
      <c r="Q82" s="187">
        <f>O82/N82*100</f>
        <v>0.2796157950907151</v>
      </c>
      <c r="R82" s="39"/>
      <c r="S82" s="96"/>
      <c r="T82" s="147">
        <f t="shared" si="23"/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0.34</v>
      </c>
      <c r="G83" s="162">
        <f t="shared" si="19"/>
        <v>-4.5600000000000005</v>
      </c>
      <c r="H83" s="164">
        <f>F83/E83*100</f>
        <v>6.938775510204081</v>
      </c>
      <c r="I83" s="167">
        <f t="shared" si="20"/>
        <v>-37.66</v>
      </c>
      <c r="J83" s="167">
        <f>F83/D83*100</f>
        <v>0.8947368421052633</v>
      </c>
      <c r="K83" s="167">
        <v>0.69</v>
      </c>
      <c r="L83" s="167">
        <f t="shared" si="21"/>
        <v>-0.3499999999999999</v>
      </c>
      <c r="M83" s="209">
        <f t="shared" si="24"/>
        <v>0.4927536231884059</v>
      </c>
      <c r="N83" s="164">
        <f>E83-'січень 17'!E83</f>
        <v>2.5000000000000004</v>
      </c>
      <c r="O83" s="168">
        <f>F83-'січень 17'!F83</f>
        <v>0</v>
      </c>
      <c r="P83" s="167">
        <f t="shared" si="22"/>
        <v>-2.5000000000000004</v>
      </c>
      <c r="Q83" s="167">
        <f>O83/N83</f>
        <v>0</v>
      </c>
      <c r="R83" s="38"/>
      <c r="S83" s="97"/>
      <c r="T83" s="147">
        <f t="shared" si="23"/>
        <v>33.1</v>
      </c>
    </row>
    <row r="84" spans="2:20" ht="18">
      <c r="B84" s="122" t="s">
        <v>143</v>
      </c>
      <c r="C84" s="43">
        <v>21110000</v>
      </c>
      <c r="D84" s="180">
        <v>0</v>
      </c>
      <c r="E84" s="180">
        <v>0</v>
      </c>
      <c r="F84" s="181">
        <v>11.81</v>
      </c>
      <c r="G84" s="162">
        <f t="shared" si="19"/>
        <v>11.81</v>
      </c>
      <c r="H84" s="164"/>
      <c r="I84" s="167">
        <f t="shared" si="20"/>
        <v>11.81</v>
      </c>
      <c r="J84" s="167"/>
      <c r="K84" s="167">
        <v>0</v>
      </c>
      <c r="L84" s="167">
        <f t="shared" si="21"/>
        <v>11.81</v>
      </c>
      <c r="M84" s="167"/>
      <c r="N84" s="164">
        <f>E84-'січень 17'!E84</f>
        <v>0</v>
      </c>
      <c r="O84" s="168">
        <f>F84-'січень 17'!F84</f>
        <v>0</v>
      </c>
      <c r="P84" s="167">
        <f t="shared" si="22"/>
        <v>0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D71+D83+D77+D82</f>
        <v>30450</v>
      </c>
      <c r="E85" s="191">
        <f>E71+E83+E77+E82+E84</f>
        <v>4386.9</v>
      </c>
      <c r="F85" s="191">
        <f>F71+F83+F77+F82+F84</f>
        <v>361.6</v>
      </c>
      <c r="G85" s="192">
        <f>F85-E85</f>
        <v>-4025.2999999999997</v>
      </c>
      <c r="H85" s="193">
        <f>F85/E85*100</f>
        <v>8.242722651530695</v>
      </c>
      <c r="I85" s="194">
        <f>F85-D85</f>
        <v>-30088.4</v>
      </c>
      <c r="J85" s="194">
        <f>F85/D85*100</f>
        <v>1.18752052545156</v>
      </c>
      <c r="K85" s="194">
        <v>3039.87</v>
      </c>
      <c r="L85" s="194">
        <f>F85-K85</f>
        <v>-2678.27</v>
      </c>
      <c r="M85" s="221">
        <f t="shared" si="24"/>
        <v>0.11895245520367649</v>
      </c>
      <c r="N85" s="191">
        <f>N71+N83+N77+N82+N84</f>
        <v>3376</v>
      </c>
      <c r="O85" s="191">
        <f>O71+O83+O77+O82+O84</f>
        <v>244.56</v>
      </c>
      <c r="P85" s="194">
        <f t="shared" si="22"/>
        <v>-3131.44</v>
      </c>
      <c r="Q85" s="194">
        <f>O85/N85*100</f>
        <v>7.2440758293838865</v>
      </c>
      <c r="R85" s="27">
        <f>O85-8104.96</f>
        <v>-7860.4</v>
      </c>
      <c r="S85" s="95">
        <f>O85/8104.96</f>
        <v>0.030174115603284903</v>
      </c>
      <c r="T85" s="147">
        <f t="shared" si="23"/>
        <v>26063.1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208409</v>
      </c>
      <c r="F86" s="191">
        <f>F64+F85</f>
        <v>125674.84000000001</v>
      </c>
      <c r="G86" s="192">
        <f>F86-E86</f>
        <v>-82734.15999999999</v>
      </c>
      <c r="H86" s="193">
        <f>F86/E86*100</f>
        <v>60.30202150578911</v>
      </c>
      <c r="I86" s="194">
        <f>F86-D86</f>
        <v>-1262266.26</v>
      </c>
      <c r="J86" s="194">
        <f>F86/D86*100</f>
        <v>9.054767525797745</v>
      </c>
      <c r="K86" s="194">
        <f>K64+K85</f>
        <v>148383.13</v>
      </c>
      <c r="L86" s="194">
        <f>F86-K86</f>
        <v>-22708.289999999994</v>
      </c>
      <c r="M86" s="221">
        <f t="shared" si="24"/>
        <v>0.8469617806282965</v>
      </c>
      <c r="N86" s="192">
        <f>N64+N85</f>
        <v>110041.6</v>
      </c>
      <c r="O86" s="192">
        <f>O64+O85</f>
        <v>27471.609999999997</v>
      </c>
      <c r="P86" s="194">
        <f t="shared" si="22"/>
        <v>-82569.99</v>
      </c>
      <c r="Q86" s="194">
        <f>O86/N86*100</f>
        <v>24.964749694660924</v>
      </c>
      <c r="R86" s="27">
        <f>O86-42872.96</f>
        <v>-15401.350000000002</v>
      </c>
      <c r="S86" s="95">
        <f>O86/42872.96</f>
        <v>0.6407677473167236</v>
      </c>
      <c r="T86" s="147">
        <f t="shared" si="23"/>
        <v>1179532.1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14</v>
      </c>
      <c r="D88" s="4" t="s">
        <v>35</v>
      </c>
      <c r="O88" s="78"/>
      <c r="T88" s="147" t="e">
        <f t="shared" si="23"/>
        <v>#VALUE!</v>
      </c>
    </row>
    <row r="89" spans="2:20" ht="30.75">
      <c r="B89" s="52" t="s">
        <v>53</v>
      </c>
      <c r="C89" s="29">
        <f>IF(P64&lt;0,ABS(P64/C88),0)</f>
        <v>5674.182142857144</v>
      </c>
      <c r="D89" s="4" t="s">
        <v>24</v>
      </c>
      <c r="G89" s="264"/>
      <c r="H89" s="264"/>
      <c r="I89" s="264"/>
      <c r="J89" s="264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42774</v>
      </c>
      <c r="D90" s="29">
        <v>3516.3</v>
      </c>
      <c r="G90" s="4" t="s">
        <v>58</v>
      </c>
      <c r="O90" s="265"/>
      <c r="P90" s="265"/>
      <c r="T90" s="147">
        <f t="shared" si="23"/>
        <v>3516.3</v>
      </c>
    </row>
    <row r="91" spans="3:16" ht="15">
      <c r="C91" s="81">
        <v>42773</v>
      </c>
      <c r="D91" s="29">
        <v>8205.4</v>
      </c>
      <c r="F91" s="113" t="s">
        <v>58</v>
      </c>
      <c r="G91" s="266"/>
      <c r="H91" s="266"/>
      <c r="I91" s="118"/>
      <c r="J91" s="267"/>
      <c r="K91" s="267"/>
      <c r="L91" s="267"/>
      <c r="M91" s="267"/>
      <c r="N91" s="267"/>
      <c r="O91" s="265"/>
      <c r="P91" s="265"/>
    </row>
    <row r="92" spans="3:16" ht="15.75" customHeight="1">
      <c r="C92" s="81">
        <v>42772</v>
      </c>
      <c r="D92" s="29">
        <v>6442.59</v>
      </c>
      <c r="F92" s="68"/>
      <c r="G92" s="266"/>
      <c r="H92" s="266"/>
      <c r="I92" s="118"/>
      <c r="J92" s="268"/>
      <c r="K92" s="268"/>
      <c r="L92" s="268"/>
      <c r="M92" s="268"/>
      <c r="N92" s="268"/>
      <c r="O92" s="265"/>
      <c r="P92" s="265"/>
    </row>
    <row r="93" spans="3:14" ht="15.75" customHeight="1">
      <c r="C93" s="81"/>
      <c r="F93" s="68"/>
      <c r="G93" s="272"/>
      <c r="H93" s="272"/>
      <c r="I93" s="124"/>
      <c r="J93" s="267"/>
      <c r="K93" s="267"/>
      <c r="L93" s="267"/>
      <c r="M93" s="267"/>
      <c r="N93" s="267"/>
    </row>
    <row r="94" spans="2:14" ht="18.75" customHeight="1">
      <c r="B94" s="273" t="s">
        <v>56</v>
      </c>
      <c r="C94" s="274"/>
      <c r="D94" s="133">
        <v>0.0066</v>
      </c>
      <c r="E94" s="69"/>
      <c r="F94" s="125" t="s">
        <v>107</v>
      </c>
      <c r="G94" s="266"/>
      <c r="H94" s="266"/>
      <c r="I94" s="126"/>
      <c r="J94" s="267"/>
      <c r="K94" s="267"/>
      <c r="L94" s="267"/>
      <c r="M94" s="267"/>
      <c r="N94" s="267"/>
    </row>
    <row r="95" spans="6:13" ht="9.75" customHeight="1">
      <c r="F95" s="68"/>
      <c r="G95" s="266"/>
      <c r="H95" s="266"/>
      <c r="I95" s="68"/>
      <c r="J95" s="69"/>
      <c r="K95" s="69"/>
      <c r="L95" s="69"/>
      <c r="M95" s="69"/>
    </row>
    <row r="96" spans="2:13" ht="22.5" customHeight="1" hidden="1">
      <c r="B96" s="269" t="s">
        <v>59</v>
      </c>
      <c r="C96" s="270"/>
      <c r="D96" s="80">
        <v>0</v>
      </c>
      <c r="E96" s="51" t="s">
        <v>24</v>
      </c>
      <c r="F96" s="68"/>
      <c r="G96" s="266"/>
      <c r="H96" s="266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183.01999999999998</v>
      </c>
      <c r="G97" s="68">
        <f>G45+G48+G49</f>
        <v>11.019999999999996</v>
      </c>
      <c r="H97" s="69"/>
      <c r="I97" s="69"/>
      <c r="N97" s="29">
        <f>N45+N48+N49</f>
        <v>86</v>
      </c>
      <c r="O97" s="202">
        <f>O45+O48+O49</f>
        <v>49.03999999999999</v>
      </c>
      <c r="P97" s="29">
        <f>P45+P48+P49</f>
        <v>-36.96000000000001</v>
      </c>
    </row>
    <row r="98" spans="4:16" ht="15" hidden="1">
      <c r="D98" s="78"/>
      <c r="I98" s="29"/>
      <c r="O98" s="271"/>
      <c r="P98" s="271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117900.9</v>
      </c>
      <c r="G99" s="29">
        <f>F99-E99</f>
        <v>-78429.6</v>
      </c>
      <c r="H99" s="230">
        <f>F99/E99</f>
        <v>0.6005225881867565</v>
      </c>
      <c r="I99" s="29">
        <f>F99-D99</f>
        <v>-1181147.7000000002</v>
      </c>
      <c r="J99" s="230">
        <f>F99/D99</f>
        <v>0.09075942193386759</v>
      </c>
      <c r="N99" s="29">
        <f>N9+N15+N17+N18+N19+N20+N39+N42+N44+N56+N62+N63</f>
        <v>101968.6</v>
      </c>
      <c r="O99" s="229">
        <f>O9+O15+O17+O18+O19+O20+O39+O42+O44+O56+O62+O63</f>
        <v>24032.589999999997</v>
      </c>
      <c r="P99" s="29">
        <f>O99-N99</f>
        <v>-77936.01000000001</v>
      </c>
      <c r="Q99" s="230">
        <f>O99/N99</f>
        <v>0.23568618182460085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7412.34</v>
      </c>
      <c r="G100" s="29">
        <f>G40+G41+G43+G45+G47+G48+G49+G50+G51+G57+G61+G44</f>
        <v>-279.26</v>
      </c>
      <c r="H100" s="230">
        <f>F100/E100</f>
        <v>0.9636928597430964</v>
      </c>
      <c r="I100" s="29">
        <f>I40+I41+I43+I45+I47+I48+I49+I50+I51+I57+I61+I44</f>
        <v>-51030.16</v>
      </c>
      <c r="J100" s="230">
        <f>F100/D100</f>
        <v>0.1268313299396843</v>
      </c>
      <c r="K100" s="29">
        <f aca="true" t="shared" si="25" ref="K100:P100">K40+K41+K43+K45+K47+K48+K49+K50+K51+K57+K61+K44</f>
        <v>4835.679999999999</v>
      </c>
      <c r="L100" s="29">
        <f t="shared" si="25"/>
        <v>2576.66</v>
      </c>
      <c r="M100" s="29">
        <f t="shared" si="25"/>
        <v>12.062144445796156</v>
      </c>
      <c r="N100" s="29">
        <f t="shared" si="25"/>
        <v>4703.8</v>
      </c>
      <c r="O100" s="229">
        <f t="shared" si="25"/>
        <v>3194.4600000000005</v>
      </c>
      <c r="P100" s="29">
        <f t="shared" si="25"/>
        <v>-1502.54</v>
      </c>
      <c r="Q100" s="230">
        <f>O100/N100</f>
        <v>0.6791232620434543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6" ref="E101:P101">SUM(E99:E100)</f>
        <v>204022.1</v>
      </c>
      <c r="F101" s="229">
        <f t="shared" si="26"/>
        <v>125313.23999999999</v>
      </c>
      <c r="G101" s="29">
        <f t="shared" si="26"/>
        <v>-78708.86</v>
      </c>
      <c r="H101" s="230">
        <f>F101/E101</f>
        <v>0.6142140483800529</v>
      </c>
      <c r="I101" s="29">
        <f t="shared" si="26"/>
        <v>-1232177.86</v>
      </c>
      <c r="J101" s="230">
        <f>F101/D101</f>
        <v>0.0923123842211562</v>
      </c>
      <c r="K101" s="29">
        <f t="shared" si="26"/>
        <v>4835.679999999999</v>
      </c>
      <c r="L101" s="29">
        <f t="shared" si="26"/>
        <v>2576.66</v>
      </c>
      <c r="M101" s="29">
        <f t="shared" si="26"/>
        <v>12.062144445796156</v>
      </c>
      <c r="N101" s="29">
        <f t="shared" si="26"/>
        <v>106672.40000000001</v>
      </c>
      <c r="O101" s="229">
        <f t="shared" si="26"/>
        <v>27227.049999999996</v>
      </c>
      <c r="P101" s="29">
        <f t="shared" si="26"/>
        <v>-79438.55</v>
      </c>
      <c r="Q101" s="230">
        <f>O101/N101</f>
        <v>0.2552398746067398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0</v>
      </c>
      <c r="H102" s="230"/>
      <c r="I102" s="29">
        <f t="shared" si="27"/>
        <v>0</v>
      </c>
      <c r="J102" s="230"/>
      <c r="K102" s="29">
        <f t="shared" si="27"/>
        <v>140507.58000000002</v>
      </c>
      <c r="L102" s="29">
        <f t="shared" si="27"/>
        <v>-22606.680000000004</v>
      </c>
      <c r="M102" s="29">
        <f t="shared" si="27"/>
        <v>-11.199956271401279</v>
      </c>
      <c r="N102" s="29">
        <f t="shared" si="27"/>
        <v>-6.80000000000291</v>
      </c>
      <c r="O102" s="29">
        <f t="shared" si="27"/>
        <v>0</v>
      </c>
      <c r="P102" s="29">
        <f t="shared" si="27"/>
        <v>0</v>
      </c>
      <c r="Q102" s="29"/>
      <c r="R102" s="29">
        <f t="shared" si="27"/>
        <v>-7540.950000000004</v>
      </c>
      <c r="S102" s="29">
        <f t="shared" si="27"/>
        <v>0.7831065922687528</v>
      </c>
      <c r="T102" s="29">
        <f t="shared" si="27"/>
        <v>1153469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zoomScale="81" zoomScaleNormal="81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2" sqref="G6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38" t="s">
        <v>144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86"/>
      <c r="S1" s="87"/>
    </row>
    <row r="2" spans="2:19" s="1" customFormat="1" ht="15.75" customHeight="1">
      <c r="B2" s="239"/>
      <c r="C2" s="239"/>
      <c r="D2" s="239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240"/>
      <c r="B3" s="242"/>
      <c r="C3" s="243" t="s">
        <v>0</v>
      </c>
      <c r="D3" s="244" t="s">
        <v>134</v>
      </c>
      <c r="E3" s="32"/>
      <c r="F3" s="245" t="s">
        <v>26</v>
      </c>
      <c r="G3" s="246"/>
      <c r="H3" s="246"/>
      <c r="I3" s="246"/>
      <c r="J3" s="247"/>
      <c r="K3" s="83"/>
      <c r="L3" s="83"/>
      <c r="M3" s="83"/>
      <c r="N3" s="248" t="s">
        <v>123</v>
      </c>
      <c r="O3" s="251" t="s">
        <v>118</v>
      </c>
      <c r="P3" s="251"/>
      <c r="Q3" s="251"/>
      <c r="R3" s="251"/>
      <c r="S3" s="251"/>
    </row>
    <row r="4" spans="1:19" ht="22.5" customHeight="1">
      <c r="A4" s="240"/>
      <c r="B4" s="242"/>
      <c r="C4" s="243"/>
      <c r="D4" s="244"/>
      <c r="E4" s="252" t="s">
        <v>135</v>
      </c>
      <c r="F4" s="254" t="s">
        <v>33</v>
      </c>
      <c r="G4" s="256" t="s">
        <v>136</v>
      </c>
      <c r="H4" s="249" t="s">
        <v>137</v>
      </c>
      <c r="I4" s="256" t="s">
        <v>138</v>
      </c>
      <c r="J4" s="249" t="s">
        <v>139</v>
      </c>
      <c r="K4" s="85" t="s">
        <v>141</v>
      </c>
      <c r="L4" s="204" t="s">
        <v>113</v>
      </c>
      <c r="M4" s="90" t="s">
        <v>63</v>
      </c>
      <c r="N4" s="249"/>
      <c r="O4" s="258" t="s">
        <v>124</v>
      </c>
      <c r="P4" s="256" t="s">
        <v>49</v>
      </c>
      <c r="Q4" s="260" t="s">
        <v>48</v>
      </c>
      <c r="R4" s="91" t="s">
        <v>64</v>
      </c>
      <c r="S4" s="92" t="s">
        <v>63</v>
      </c>
    </row>
    <row r="5" spans="1:19" ht="67.5" customHeight="1">
      <c r="A5" s="241"/>
      <c r="B5" s="242"/>
      <c r="C5" s="243"/>
      <c r="D5" s="244"/>
      <c r="E5" s="253"/>
      <c r="F5" s="255"/>
      <c r="G5" s="257"/>
      <c r="H5" s="250"/>
      <c r="I5" s="257"/>
      <c r="J5" s="250"/>
      <c r="K5" s="261" t="s">
        <v>142</v>
      </c>
      <c r="L5" s="262"/>
      <c r="M5" s="263"/>
      <c r="N5" s="250"/>
      <c r="O5" s="259"/>
      <c r="P5" s="257"/>
      <c r="Q5" s="260"/>
      <c r="R5" s="261" t="s">
        <v>102</v>
      </c>
      <c r="S5" s="263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 aca="true" t="shared" si="0" ref="G8:G37">F8-E8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 aca="true" t="shared" si="1" ref="L8:L51">F8-K8</f>
        <v>33276.340000000004</v>
      </c>
      <c r="M8" s="205">
        <f aca="true" t="shared" si="2" ref="M8:M28">F8/K8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 t="shared" si="0"/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 t="shared" si="1"/>
        <v>16711.66</v>
      </c>
      <c r="M9" s="206">
        <f t="shared" si="2"/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 t="shared" si="0"/>
        <v>-141.0699999999997</v>
      </c>
      <c r="H10" s="30">
        <f aca="true" t="shared" si="3" ref="H10:H36">F10/E10*100</f>
        <v>99.67408280195914</v>
      </c>
      <c r="I10" s="104">
        <f aca="true" t="shared" si="4" ref="I10:I37">F10-D10</f>
        <v>-658174.07</v>
      </c>
      <c r="J10" s="104">
        <f aca="true" t="shared" si="5" ref="J10:J36">F10/D10*100</f>
        <v>6.15170172689383</v>
      </c>
      <c r="K10" s="106">
        <v>26883.84</v>
      </c>
      <c r="L10" s="106">
        <f t="shared" si="1"/>
        <v>16259.09</v>
      </c>
      <c r="M10" s="207">
        <f t="shared" si="2"/>
        <v>1.604790461481693</v>
      </c>
      <c r="N10" s="105" t="e">
        <f>E10-#REF!</f>
        <v>#REF!</v>
      </c>
      <c r="O10" s="144" t="e">
        <f>F10-#REF!</f>
        <v>#REF!</v>
      </c>
      <c r="P10" s="106" t="e">
        <f aca="true" t="shared" si="6" ref="P10:P37">O10-N10</f>
        <v>#REF!</v>
      </c>
      <c r="Q10" s="158" t="e">
        <f aca="true" t="shared" si="7" ref="Q10:Q16">O10/N10*100</f>
        <v>#REF!</v>
      </c>
      <c r="R10" s="37"/>
      <c r="S10" s="94"/>
      <c r="T10" s="147">
        <f aca="true" t="shared" si="8" ref="T10:T73">D10-E10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 t="shared" si="0"/>
        <v>-918.3000000000002</v>
      </c>
      <c r="H11" s="30">
        <f t="shared" si="3"/>
        <v>74.49166666666667</v>
      </c>
      <c r="I11" s="104">
        <f t="shared" si="4"/>
        <v>-43824.3</v>
      </c>
      <c r="J11" s="104">
        <f t="shared" si="5"/>
        <v>5.76635272868017</v>
      </c>
      <c r="K11" s="106">
        <v>2684.94</v>
      </c>
      <c r="L11" s="106">
        <f t="shared" si="1"/>
        <v>-3.2400000000002365</v>
      </c>
      <c r="M11" s="207">
        <f t="shared" si="2"/>
        <v>0.9987932691233323</v>
      </c>
      <c r="N11" s="105" t="e">
        <f>E11-#REF!</f>
        <v>#REF!</v>
      </c>
      <c r="O11" s="144" t="e">
        <f>F11-#REF!</f>
        <v>#REF!</v>
      </c>
      <c r="P11" s="106" t="e">
        <f t="shared" si="6"/>
        <v>#REF!</v>
      </c>
      <c r="Q11" s="158" t="e">
        <f t="shared" si="7"/>
        <v>#REF!</v>
      </c>
      <c r="R11" s="37"/>
      <c r="S11" s="94"/>
      <c r="T11" s="147">
        <f t="shared" si="8"/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 t="shared" si="0"/>
        <v>80.43</v>
      </c>
      <c r="H12" s="30">
        <f t="shared" si="3"/>
        <v>119.15</v>
      </c>
      <c r="I12" s="104">
        <f t="shared" si="4"/>
        <v>-7779.57</v>
      </c>
      <c r="J12" s="104">
        <f t="shared" si="5"/>
        <v>6.043840579710145</v>
      </c>
      <c r="K12" s="106">
        <v>433.61</v>
      </c>
      <c r="L12" s="106">
        <f t="shared" si="1"/>
        <v>66.82</v>
      </c>
      <c r="M12" s="207">
        <f t="shared" si="2"/>
        <v>1.1541016120476926</v>
      </c>
      <c r="N12" s="105" t="e">
        <f>E12-#REF!</f>
        <v>#REF!</v>
      </c>
      <c r="O12" s="144" t="e">
        <f>F12-#REF!</f>
        <v>#REF!</v>
      </c>
      <c r="P12" s="106" t="e">
        <f t="shared" si="6"/>
        <v>#REF!</v>
      </c>
      <c r="Q12" s="158" t="e">
        <f t="shared" si="7"/>
        <v>#REF!</v>
      </c>
      <c r="R12" s="37"/>
      <c r="S12" s="94"/>
      <c r="T12" s="147">
        <f t="shared" si="8"/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 t="shared" si="0"/>
        <v>199.36</v>
      </c>
      <c r="H13" s="30">
        <f t="shared" si="3"/>
        <v>166.45333333333335</v>
      </c>
      <c r="I13" s="104">
        <f t="shared" si="4"/>
        <v>-8890.64</v>
      </c>
      <c r="J13" s="104">
        <f t="shared" si="5"/>
        <v>5.317997870074548</v>
      </c>
      <c r="K13" s="106">
        <v>209.84</v>
      </c>
      <c r="L13" s="106">
        <f t="shared" si="1"/>
        <v>289.52</v>
      </c>
      <c r="M13" s="207">
        <f t="shared" si="2"/>
        <v>2.3797178802897445</v>
      </c>
      <c r="N13" s="105" t="e">
        <f>E13-#REF!</f>
        <v>#REF!</v>
      </c>
      <c r="O13" s="144" t="e">
        <f>F13-#REF!</f>
        <v>#REF!</v>
      </c>
      <c r="P13" s="106" t="e">
        <f t="shared" si="6"/>
        <v>#REF!</v>
      </c>
      <c r="Q13" s="158" t="e">
        <f t="shared" si="7"/>
        <v>#REF!</v>
      </c>
      <c r="R13" s="37"/>
      <c r="S13" s="94"/>
      <c r="T13" s="147">
        <f t="shared" si="8"/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 t="shared" si="0"/>
        <v>4.5</v>
      </c>
      <c r="H14" s="30">
        <f t="shared" si="3"/>
        <v>104.6875</v>
      </c>
      <c r="I14" s="104">
        <f t="shared" si="4"/>
        <v>-1051.5</v>
      </c>
      <c r="J14" s="104">
        <f t="shared" si="5"/>
        <v>8.723958333333332</v>
      </c>
      <c r="K14" s="106">
        <v>1.04</v>
      </c>
      <c r="L14" s="106">
        <f t="shared" si="1"/>
        <v>99.46</v>
      </c>
      <c r="M14" s="207">
        <f t="shared" si="2"/>
        <v>96.63461538461539</v>
      </c>
      <c r="N14" s="105" t="e">
        <f>E14-#REF!</f>
        <v>#REF!</v>
      </c>
      <c r="O14" s="144" t="e">
        <f>F14-#REF!</f>
        <v>#REF!</v>
      </c>
      <c r="P14" s="106" t="e">
        <f t="shared" si="6"/>
        <v>#REF!</v>
      </c>
      <c r="Q14" s="158" t="e">
        <f t="shared" si="7"/>
        <v>#REF!</v>
      </c>
      <c r="R14" s="37"/>
      <c r="S14" s="94"/>
      <c r="T14" s="147">
        <f t="shared" si="8"/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 t="shared" si="0"/>
        <v>0</v>
      </c>
      <c r="H15" s="157"/>
      <c r="I15" s="158">
        <f t="shared" si="4"/>
        <v>-551</v>
      </c>
      <c r="J15" s="158">
        <f t="shared" si="5"/>
        <v>0</v>
      </c>
      <c r="K15" s="161">
        <v>0</v>
      </c>
      <c r="L15" s="161">
        <f t="shared" si="1"/>
        <v>0</v>
      </c>
      <c r="M15" s="208"/>
      <c r="N15" s="157" t="e">
        <f>E15-#REF!</f>
        <v>#REF!</v>
      </c>
      <c r="O15" s="160" t="e">
        <f>F15-#REF!</f>
        <v>#REF!</v>
      </c>
      <c r="P15" s="161" t="e">
        <f t="shared" si="6"/>
        <v>#REF!</v>
      </c>
      <c r="Q15" s="158" t="e">
        <f t="shared" si="7"/>
        <v>#REF!</v>
      </c>
      <c r="R15" s="37"/>
      <c r="S15" s="94"/>
      <c r="T15" s="147">
        <f t="shared" si="8"/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30"/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 t="shared" si="6"/>
        <v>#REF!</v>
      </c>
      <c r="Q16" s="158" t="e">
        <f t="shared" si="7"/>
        <v>#REF!</v>
      </c>
      <c r="R16" s="104" t="e">
        <f>O16-358.81</f>
        <v>#REF!</v>
      </c>
      <c r="S16" s="109" t="e">
        <f>O16/358.79</f>
        <v>#REF!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64"/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 t="shared" si="6"/>
        <v>#REF!</v>
      </c>
      <c r="Q17" s="158"/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 t="shared" si="0"/>
        <v>0</v>
      </c>
      <c r="H18" s="157"/>
      <c r="I18" s="158">
        <f t="shared" si="4"/>
        <v>-125</v>
      </c>
      <c r="J18" s="158">
        <f t="shared" si="5"/>
        <v>0</v>
      </c>
      <c r="K18" s="161">
        <v>0</v>
      </c>
      <c r="L18" s="161">
        <f t="shared" si="1"/>
        <v>0</v>
      </c>
      <c r="M18" s="208"/>
      <c r="N18" s="157" t="e">
        <f>E18-#REF!</f>
        <v>#REF!</v>
      </c>
      <c r="O18" s="160" t="e">
        <f>F18-#REF!</f>
        <v>#REF!</v>
      </c>
      <c r="P18" s="161" t="e">
        <f t="shared" si="6"/>
        <v>#REF!</v>
      </c>
      <c r="Q18" s="158"/>
      <c r="R18" s="37"/>
      <c r="S18" s="94"/>
      <c r="T18" s="147">
        <f t="shared" si="8"/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 t="shared" si="0"/>
        <v>51.75</v>
      </c>
      <c r="H19" s="157">
        <f t="shared" si="3"/>
        <v>100.53350515463917</v>
      </c>
      <c r="I19" s="158">
        <f t="shared" si="4"/>
        <v>-120248.25</v>
      </c>
      <c r="J19" s="158">
        <f t="shared" si="5"/>
        <v>7.501346153846154</v>
      </c>
      <c r="K19" s="169">
        <v>5560</v>
      </c>
      <c r="L19" s="161">
        <f t="shared" si="1"/>
        <v>4191.75</v>
      </c>
      <c r="M19" s="213">
        <f t="shared" si="2"/>
        <v>1.7539118705035972</v>
      </c>
      <c r="N19" s="157" t="e">
        <f>E19-#REF!</f>
        <v>#REF!</v>
      </c>
      <c r="O19" s="160" t="e">
        <f>F19-#REF!</f>
        <v>#REF!</v>
      </c>
      <c r="P19" s="161" t="e">
        <f t="shared" si="6"/>
        <v>#REF!</v>
      </c>
      <c r="Q19" s="158" t="e">
        <f aca="true" t="shared" si="9" ref="Q19:Q24">O19/N19*100</f>
        <v>#REF!</v>
      </c>
      <c r="R19" s="107"/>
      <c r="S19" s="108"/>
      <c r="T19" s="147">
        <f t="shared" si="8"/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 t="shared" si="0"/>
        <v>212.79000000000087</v>
      </c>
      <c r="H20" s="157">
        <f t="shared" si="3"/>
        <v>100.57561371474944</v>
      </c>
      <c r="I20" s="158">
        <f t="shared" si="4"/>
        <v>-363949.81</v>
      </c>
      <c r="J20" s="158">
        <f t="shared" si="5"/>
        <v>9.268885581012245</v>
      </c>
      <c r="K20" s="158">
        <v>24797.05</v>
      </c>
      <c r="L20" s="161">
        <f t="shared" si="1"/>
        <v>12383.240000000002</v>
      </c>
      <c r="M20" s="209">
        <f t="shared" si="2"/>
        <v>1.4993835960325927</v>
      </c>
      <c r="N20" s="157" t="e">
        <f>N21+N30+N31+N32</f>
        <v>#REF!</v>
      </c>
      <c r="O20" s="160" t="e">
        <f>F20-#REF!</f>
        <v>#REF!</v>
      </c>
      <c r="P20" s="161" t="e">
        <f t="shared" si="6"/>
        <v>#REF!</v>
      </c>
      <c r="Q20" s="158" t="e">
        <f t="shared" si="9"/>
        <v>#REF!</v>
      </c>
      <c r="R20" s="107"/>
      <c r="S20" s="108"/>
      <c r="T20" s="147">
        <f t="shared" si="8"/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 t="shared" si="0"/>
        <v>-225.52000000000044</v>
      </c>
      <c r="H21" s="157">
        <f t="shared" si="3"/>
        <v>98.65327425384275</v>
      </c>
      <c r="I21" s="158">
        <f t="shared" si="4"/>
        <v>-190100.72</v>
      </c>
      <c r="J21" s="158">
        <f t="shared" si="5"/>
        <v>7.995450607634267</v>
      </c>
      <c r="K21" s="158">
        <v>11899.3</v>
      </c>
      <c r="L21" s="161">
        <f t="shared" si="1"/>
        <v>4620.98</v>
      </c>
      <c r="M21" s="209">
        <f t="shared" si="2"/>
        <v>1.388340490617095</v>
      </c>
      <c r="N21" s="157" t="e">
        <f>N22+N25+N26</f>
        <v>#REF!</v>
      </c>
      <c r="O21" s="160" t="e">
        <f>F21-#REF!</f>
        <v>#REF!</v>
      </c>
      <c r="P21" s="161" t="e">
        <f t="shared" si="6"/>
        <v>#REF!</v>
      </c>
      <c r="Q21" s="158" t="e">
        <f t="shared" si="9"/>
        <v>#REF!</v>
      </c>
      <c r="R21" s="107"/>
      <c r="S21" s="108"/>
      <c r="T21" s="147">
        <f t="shared" si="8"/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 t="shared" si="0"/>
        <v>-330.3899999999999</v>
      </c>
      <c r="H22" s="173">
        <f t="shared" si="3"/>
        <v>92.0387951807229</v>
      </c>
      <c r="I22" s="174">
        <f t="shared" si="4"/>
        <v>-18989.39</v>
      </c>
      <c r="J22" s="174">
        <f t="shared" si="5"/>
        <v>16.746065149721602</v>
      </c>
      <c r="K22" s="175">
        <v>3049.6</v>
      </c>
      <c r="L22" s="166">
        <f t="shared" si="1"/>
        <v>770.0100000000002</v>
      </c>
      <c r="M22" s="215">
        <f t="shared" si="2"/>
        <v>1.252495409233998</v>
      </c>
      <c r="N22" s="173" t="e">
        <f>E22-#REF!</f>
        <v>#REF!</v>
      </c>
      <c r="O22" s="176" t="e">
        <f>F22-#REF!</f>
        <v>#REF!</v>
      </c>
      <c r="P22" s="177" t="e">
        <f t="shared" si="6"/>
        <v>#REF!</v>
      </c>
      <c r="Q22" s="174" t="e">
        <f t="shared" si="9"/>
        <v>#REF!</v>
      </c>
      <c r="R22" s="107"/>
      <c r="S22" s="108"/>
      <c r="T22" s="147">
        <f t="shared" si="8"/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 t="shared" si="0"/>
        <v>-19.629999999999995</v>
      </c>
      <c r="H23" s="199">
        <f t="shared" si="3"/>
        <v>85.97857142857143</v>
      </c>
      <c r="I23" s="200">
        <f t="shared" si="4"/>
        <v>-1701.9299999999998</v>
      </c>
      <c r="J23" s="200">
        <f t="shared" si="5"/>
        <v>6.605388794380727</v>
      </c>
      <c r="K23" s="200">
        <v>128.1</v>
      </c>
      <c r="L23" s="200">
        <f t="shared" si="1"/>
        <v>-7.72999999999999</v>
      </c>
      <c r="M23" s="228">
        <f t="shared" si="2"/>
        <v>0.939656518345043</v>
      </c>
      <c r="N23" s="199" t="e">
        <f>E23-#REF!</f>
        <v>#REF!</v>
      </c>
      <c r="O23" s="199" t="e">
        <f>F23-#REF!</f>
        <v>#REF!</v>
      </c>
      <c r="P23" s="200" t="e">
        <f t="shared" si="6"/>
        <v>#REF!</v>
      </c>
      <c r="Q23" s="200" t="e">
        <f t="shared" si="9"/>
        <v>#REF!</v>
      </c>
      <c r="R23" s="107"/>
      <c r="S23" s="108"/>
      <c r="T23" s="147">
        <f t="shared" si="8"/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 t="shared" si="0"/>
        <v>-310.7600000000002</v>
      </c>
      <c r="H24" s="199">
        <f t="shared" si="3"/>
        <v>92.2503740648379</v>
      </c>
      <c r="I24" s="200">
        <f t="shared" si="4"/>
        <v>-17287.46</v>
      </c>
      <c r="J24" s="200">
        <f t="shared" si="5"/>
        <v>17.62659207974574</v>
      </c>
      <c r="K24" s="200">
        <v>2921.5</v>
      </c>
      <c r="L24" s="200">
        <f t="shared" si="1"/>
        <v>777.7399999999998</v>
      </c>
      <c r="M24" s="228">
        <f t="shared" si="2"/>
        <v>1.266212562040048</v>
      </c>
      <c r="N24" s="199" t="e">
        <f>E24-#REF!</f>
        <v>#REF!</v>
      </c>
      <c r="O24" s="199" t="e">
        <f>F24-#REF!</f>
        <v>#REF!</v>
      </c>
      <c r="P24" s="200" t="e">
        <f t="shared" si="6"/>
        <v>#REF!</v>
      </c>
      <c r="Q24" s="200" t="e">
        <f t="shared" si="9"/>
        <v>#REF!</v>
      </c>
      <c r="R24" s="107"/>
      <c r="S24" s="108"/>
      <c r="T24" s="147">
        <f t="shared" si="8"/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 t="shared" si="0"/>
        <v>6.280000000000001</v>
      </c>
      <c r="H25" s="173">
        <f t="shared" si="3"/>
        <v>113.71179039301312</v>
      </c>
      <c r="I25" s="174">
        <f t="shared" si="4"/>
        <v>-767.92</v>
      </c>
      <c r="J25" s="174">
        <f t="shared" si="5"/>
        <v>6.351219512195122</v>
      </c>
      <c r="K25" s="174">
        <v>156.87</v>
      </c>
      <c r="L25" s="174">
        <f t="shared" si="1"/>
        <v>-104.79</v>
      </c>
      <c r="M25" s="212">
        <f t="shared" si="2"/>
        <v>0.33199464524765726</v>
      </c>
      <c r="N25" s="173" t="e">
        <f>E25-#REF!</f>
        <v>#REF!</v>
      </c>
      <c r="O25" s="176" t="e">
        <f>F25-#REF!</f>
        <v>#REF!</v>
      </c>
      <c r="P25" s="177" t="e">
        <f t="shared" si="6"/>
        <v>#REF!</v>
      </c>
      <c r="Q25" s="174"/>
      <c r="R25" s="107"/>
      <c r="S25" s="108"/>
      <c r="T25" s="147">
        <f t="shared" si="8"/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 t="shared" si="0"/>
        <v>98.59000000000015</v>
      </c>
      <c r="H26" s="173">
        <f t="shared" si="3"/>
        <v>100.78557768924303</v>
      </c>
      <c r="I26" s="174">
        <f t="shared" si="4"/>
        <v>-170343.41</v>
      </c>
      <c r="J26" s="174">
        <f t="shared" si="5"/>
        <v>6.912099982512896</v>
      </c>
      <c r="K26" s="175">
        <v>8692.83</v>
      </c>
      <c r="L26" s="175">
        <f t="shared" si="1"/>
        <v>3955.76</v>
      </c>
      <c r="M26" s="211">
        <f t="shared" si="2"/>
        <v>1.455060089752129</v>
      </c>
      <c r="N26" s="173" t="e">
        <f>E26-#REF!</f>
        <v>#REF!</v>
      </c>
      <c r="O26" s="176" t="e">
        <f>F26-#REF!</f>
        <v>#REF!</v>
      </c>
      <c r="P26" s="177" t="e">
        <f t="shared" si="6"/>
        <v>#REF!</v>
      </c>
      <c r="Q26" s="174" t="e">
        <f>O26/N26*100</f>
        <v>#REF!</v>
      </c>
      <c r="R26" s="107"/>
      <c r="S26" s="108"/>
      <c r="T26" s="147">
        <f t="shared" si="8"/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 t="shared" si="0"/>
        <v>269.8600000000001</v>
      </c>
      <c r="H27" s="199">
        <f t="shared" si="3"/>
        <v>107.64475920679888</v>
      </c>
      <c r="I27" s="200">
        <f t="shared" si="4"/>
        <v>-53733.14</v>
      </c>
      <c r="J27" s="200">
        <f t="shared" si="5"/>
        <v>6.604661672431475</v>
      </c>
      <c r="K27" s="200">
        <v>2454.05</v>
      </c>
      <c r="L27" s="200">
        <f t="shared" si="1"/>
        <v>1345.81</v>
      </c>
      <c r="M27" s="228">
        <f t="shared" si="2"/>
        <v>1.5484036592571462</v>
      </c>
      <c r="N27" s="199" t="e">
        <f>E27-#REF!</f>
        <v>#REF!</v>
      </c>
      <c r="O27" s="199" t="e">
        <f>F27-#REF!</f>
        <v>#REF!</v>
      </c>
      <c r="P27" s="200" t="e">
        <f t="shared" si="6"/>
        <v>#REF!</v>
      </c>
      <c r="Q27" s="200" t="e">
        <f>O27/N27*100</f>
        <v>#REF!</v>
      </c>
      <c r="R27" s="107"/>
      <c r="S27" s="108"/>
      <c r="T27" s="147">
        <f t="shared" si="8"/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 t="shared" si="0"/>
        <v>-171.27000000000044</v>
      </c>
      <c r="H28" s="199">
        <f t="shared" si="3"/>
        <v>98.10121951219512</v>
      </c>
      <c r="I28" s="200">
        <f t="shared" si="4"/>
        <v>-116610.27</v>
      </c>
      <c r="J28" s="200">
        <f t="shared" si="5"/>
        <v>7.053085071617023</v>
      </c>
      <c r="K28" s="200">
        <v>6238.78</v>
      </c>
      <c r="L28" s="200">
        <f t="shared" si="1"/>
        <v>2609.95</v>
      </c>
      <c r="M28" s="228">
        <f t="shared" si="2"/>
        <v>1.4183430093704217</v>
      </c>
      <c r="N28" s="199" t="e">
        <f>E28-#REF!</f>
        <v>#REF!</v>
      </c>
      <c r="O28" s="199" t="e">
        <f>F28-#REF!</f>
        <v>#REF!</v>
      </c>
      <c r="P28" s="200" t="e">
        <f t="shared" si="6"/>
        <v>#REF!</v>
      </c>
      <c r="Q28" s="200" t="e">
        <f>O28/N28*100</f>
        <v>#REF!</v>
      </c>
      <c r="R28" s="107"/>
      <c r="S28" s="108"/>
      <c r="T28" s="147">
        <f t="shared" si="8"/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 t="e">
        <f>E29-#REF!</f>
        <v>#REF!</v>
      </c>
      <c r="O29" s="160" t="e">
        <f>F29-#REF!</f>
        <v>#REF!</v>
      </c>
      <c r="P29" s="161" t="e">
        <f t="shared" si="6"/>
        <v>#REF!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 t="shared" si="0"/>
        <v>10.06</v>
      </c>
      <c r="H30" s="157">
        <f t="shared" si="3"/>
        <v>435.33333333333337</v>
      </c>
      <c r="I30" s="158">
        <f t="shared" si="4"/>
        <v>-101.94</v>
      </c>
      <c r="J30" s="158">
        <f t="shared" si="5"/>
        <v>11.356521739130434</v>
      </c>
      <c r="K30" s="158">
        <v>2.61</v>
      </c>
      <c r="L30" s="158">
        <f t="shared" si="1"/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 t="shared" si="6"/>
        <v>#REF!</v>
      </c>
      <c r="Q30" s="158" t="e">
        <f>O30/N30*100</f>
        <v>#REF!</v>
      </c>
      <c r="R30" s="107"/>
      <c r="S30" s="108"/>
      <c r="T30" s="147">
        <f t="shared" si="8"/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 t="shared" si="0"/>
        <v>-2.93</v>
      </c>
      <c r="H31" s="157"/>
      <c r="I31" s="158">
        <f t="shared" si="4"/>
        <v>-2.93</v>
      </c>
      <c r="J31" s="158"/>
      <c r="K31" s="158">
        <v>-0.35</v>
      </c>
      <c r="L31" s="158">
        <f t="shared" si="1"/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 t="shared" si="6"/>
        <v>#REF!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 t="shared" si="0"/>
        <v>430.97999999999956</v>
      </c>
      <c r="H32" s="164">
        <f t="shared" si="3"/>
        <v>102.13159105184803</v>
      </c>
      <c r="I32" s="165">
        <f t="shared" si="4"/>
        <v>-173744.42</v>
      </c>
      <c r="J32" s="165">
        <f t="shared" si="5"/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 t="shared" si="6"/>
        <v>#REF!</v>
      </c>
      <c r="Q32" s="165" t="e">
        <f>O32/N32*100</f>
        <v>#REF!</v>
      </c>
      <c r="R32" s="107"/>
      <c r="S32" s="108"/>
      <c r="T32" s="147">
        <f t="shared" si="8"/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</v>
      </c>
      <c r="L33" s="127">
        <f t="shared" si="1"/>
        <v>0</v>
      </c>
      <c r="M33" s="216" t="e">
        <f aca="true" t="shared" si="10" ref="M33:M39">F33/K33</f>
        <v>#DIV/0!</v>
      </c>
      <c r="N33" s="105" t="e">
        <f>E33-#REF!</f>
        <v>#REF!</v>
      </c>
      <c r="O33" s="144" t="e">
        <f>F33-#REF!</f>
        <v>#REF!</v>
      </c>
      <c r="P33" s="106" t="e">
        <f t="shared" si="6"/>
        <v>#REF!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 t="shared" si="0"/>
        <v>85.0300000000002</v>
      </c>
      <c r="H34" s="105">
        <f t="shared" si="3"/>
        <v>102.42942857142859</v>
      </c>
      <c r="I34" s="104">
        <f t="shared" si="4"/>
        <v>-37414.97</v>
      </c>
      <c r="J34" s="104">
        <f t="shared" si="5"/>
        <v>8.743975609756099</v>
      </c>
      <c r="K34" s="127">
        <v>2155.98</v>
      </c>
      <c r="L34" s="127">
        <f t="shared" si="1"/>
        <v>1429.0500000000002</v>
      </c>
      <c r="M34" s="216">
        <f t="shared" si="10"/>
        <v>1.6628308240336183</v>
      </c>
      <c r="N34" s="105" t="e">
        <f>E34-#REF!</f>
        <v>#REF!</v>
      </c>
      <c r="O34" s="144" t="e">
        <f>F34-#REF!</f>
        <v>#REF!</v>
      </c>
      <c r="P34" s="106" t="e">
        <f t="shared" si="6"/>
        <v>#REF!</v>
      </c>
      <c r="Q34" s="104" t="e">
        <f>O34/N34*100</f>
        <v>#REF!</v>
      </c>
      <c r="R34" s="107"/>
      <c r="S34" s="108"/>
      <c r="T34" s="147">
        <f t="shared" si="8"/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 t="shared" si="0"/>
        <v>348.5400000000009</v>
      </c>
      <c r="H35" s="105">
        <f t="shared" si="3"/>
        <v>102.08706586826348</v>
      </c>
      <c r="I35" s="104">
        <f t="shared" si="4"/>
        <v>-136290.56</v>
      </c>
      <c r="J35" s="104">
        <f t="shared" si="5"/>
        <v>11.118194902669964</v>
      </c>
      <c r="K35" s="127">
        <v>10736.34</v>
      </c>
      <c r="L35" s="127">
        <f t="shared" si="1"/>
        <v>6312.200000000001</v>
      </c>
      <c r="M35" s="216">
        <f t="shared" si="10"/>
        <v>1.5879284746943558</v>
      </c>
      <c r="N35" s="105" t="e">
        <f>E35-#REF!</f>
        <v>#REF!</v>
      </c>
      <c r="O35" s="144" t="e">
        <f>F35-#REF!</f>
        <v>#REF!</v>
      </c>
      <c r="P35" s="106" t="e">
        <f t="shared" si="6"/>
        <v>#REF!</v>
      </c>
      <c r="Q35" s="104" t="e">
        <f>O35/N35*100</f>
        <v>#REF!</v>
      </c>
      <c r="R35" s="107"/>
      <c r="S35" s="108"/>
      <c r="T35" s="147">
        <f t="shared" si="8"/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3.19</v>
      </c>
      <c r="L36" s="127">
        <f t="shared" si="1"/>
        <v>12.92</v>
      </c>
      <c r="M36" s="216">
        <f t="shared" si="10"/>
        <v>5.0501567398119125</v>
      </c>
      <c r="N36" s="105" t="e">
        <f>E36-#REF!</f>
        <v>#REF!</v>
      </c>
      <c r="O36" s="144" t="e">
        <f>F36-#REF!</f>
        <v>#REF!</v>
      </c>
      <c r="P36" s="106" t="e">
        <f t="shared" si="6"/>
        <v>#REF!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9.9</v>
      </c>
      <c r="L37" s="119">
        <f t="shared" si="1"/>
        <v>-9.9</v>
      </c>
      <c r="M37" s="217">
        <f t="shared" si="10"/>
        <v>0</v>
      </c>
      <c r="N37" s="137" t="e">
        <f>E37-#REF!</f>
        <v>#REF!</v>
      </c>
      <c r="O37" s="145" t="e">
        <f>F37-#REF!</f>
        <v>#REF!</v>
      </c>
      <c r="P37" s="36" t="e">
        <f t="shared" si="6"/>
        <v>#REF!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 t="shared" si="1"/>
        <v>2196.7700000000004</v>
      </c>
      <c r="M38" s="205">
        <f t="shared" si="10"/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8"/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 t="shared" si="1"/>
        <v>3.4699999999999998</v>
      </c>
      <c r="M39" s="218">
        <f t="shared" si="10"/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1" ref="Q39:Q62">O39/N39*100</f>
        <v>#REF!</v>
      </c>
      <c r="R39" s="37"/>
      <c r="S39" s="94"/>
      <c r="T39" s="147">
        <f t="shared" si="8"/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 aca="true" t="shared" si="12" ref="G40:G63">F40-E40</f>
        <v>0</v>
      </c>
      <c r="H40" s="164"/>
      <c r="I40" s="165">
        <f aca="true" t="shared" si="13" ref="I40:I63">F40-D40</f>
        <v>-30000</v>
      </c>
      <c r="J40" s="165">
        <f>F40/D40*100</f>
        <v>0</v>
      </c>
      <c r="K40" s="165">
        <v>0</v>
      </c>
      <c r="L40" s="165">
        <f t="shared" si="1"/>
        <v>0</v>
      </c>
      <c r="M40" s="218"/>
      <c r="N40" s="164" t="e">
        <f>E40-#REF!</f>
        <v>#REF!</v>
      </c>
      <c r="O40" s="168" t="e">
        <f>F40-#REF!</f>
        <v>#REF!</v>
      </c>
      <c r="P40" s="167" t="e">
        <f aca="true" t="shared" si="14" ref="P40:P63">O40-N40</f>
        <v>#REF!</v>
      </c>
      <c r="Q40" s="165" t="e">
        <f t="shared" si="11"/>
        <v>#REF!</v>
      </c>
      <c r="R40" s="37"/>
      <c r="S40" s="94"/>
      <c r="T40" s="147">
        <f t="shared" si="8"/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 t="shared" si="12"/>
        <v>4.869999999999999</v>
      </c>
      <c r="H41" s="164">
        <f aca="true" t="shared" si="15" ref="H41:H62">F41/E41*100</f>
        <v>148.7</v>
      </c>
      <c r="I41" s="165">
        <f t="shared" si="13"/>
        <v>-25.130000000000003</v>
      </c>
      <c r="J41" s="165">
        <f aca="true" t="shared" si="16" ref="J41:J62">F41/D41*100</f>
        <v>37.175</v>
      </c>
      <c r="K41" s="165">
        <v>17.84</v>
      </c>
      <c r="L41" s="165">
        <f t="shared" si="1"/>
        <v>-2.9700000000000006</v>
      </c>
      <c r="M41" s="218">
        <f aca="true" t="shared" si="17" ref="M41:M63">F41/K41</f>
        <v>0.8335201793721972</v>
      </c>
      <c r="N41" s="164" t="e">
        <f>E41-#REF!</f>
        <v>#REF!</v>
      </c>
      <c r="O41" s="168" t="e">
        <f>F41-#REF!</f>
        <v>#REF!</v>
      </c>
      <c r="P41" s="167" t="e">
        <f t="shared" si="14"/>
        <v>#REF!</v>
      </c>
      <c r="Q41" s="165"/>
      <c r="R41" s="37"/>
      <c r="S41" s="94"/>
      <c r="T41" s="147">
        <f t="shared" si="8"/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 t="shared" si="12"/>
        <v>0</v>
      </c>
      <c r="H42" s="164"/>
      <c r="I42" s="165">
        <f t="shared" si="13"/>
        <v>0</v>
      </c>
      <c r="J42" s="165"/>
      <c r="K42" s="165">
        <v>1.02</v>
      </c>
      <c r="L42" s="165">
        <f t="shared" si="1"/>
        <v>-1.02</v>
      </c>
      <c r="M42" s="218">
        <f t="shared" si="17"/>
        <v>0</v>
      </c>
      <c r="N42" s="164" t="e">
        <f>E42-#REF!</f>
        <v>#REF!</v>
      </c>
      <c r="O42" s="168" t="e">
        <f>F42-#REF!</f>
        <v>#REF!</v>
      </c>
      <c r="P42" s="167" t="e">
        <f t="shared" si="14"/>
        <v>#REF!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 t="shared" si="12"/>
        <v>-8.83</v>
      </c>
      <c r="H43" s="164">
        <f t="shared" si="15"/>
        <v>55.85</v>
      </c>
      <c r="I43" s="165">
        <f t="shared" si="13"/>
        <v>-248.83</v>
      </c>
      <c r="J43" s="165">
        <f t="shared" si="16"/>
        <v>4.296153846153846</v>
      </c>
      <c r="K43" s="165">
        <v>-6.4</v>
      </c>
      <c r="L43" s="165">
        <f t="shared" si="1"/>
        <v>17.57</v>
      </c>
      <c r="M43" s="218">
        <f t="shared" si="17"/>
        <v>-1.7453124999999998</v>
      </c>
      <c r="N43" s="164" t="e">
        <f>E43-#REF!</f>
        <v>#REF!</v>
      </c>
      <c r="O43" s="168" t="e">
        <f>F43-#REF!</f>
        <v>#REF!</v>
      </c>
      <c r="P43" s="167" t="e">
        <f t="shared" si="14"/>
        <v>#REF!</v>
      </c>
      <c r="Q43" s="165" t="e">
        <f t="shared" si="11"/>
        <v>#REF!</v>
      </c>
      <c r="R43" s="37"/>
      <c r="S43" s="94"/>
      <c r="T43" s="147">
        <f t="shared" si="8"/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 t="shared" si="12"/>
        <v>-6.8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8"/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 t="shared" si="12"/>
        <v>29.450000000000003</v>
      </c>
      <c r="H45" s="164">
        <f t="shared" si="15"/>
        <v>149.08333333333334</v>
      </c>
      <c r="I45" s="165">
        <f t="shared" si="13"/>
        <v>-640.55</v>
      </c>
      <c r="J45" s="165">
        <f t="shared" si="16"/>
        <v>12.253424657534246</v>
      </c>
      <c r="K45" s="165">
        <v>0</v>
      </c>
      <c r="L45" s="165">
        <f t="shared" si="1"/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 t="shared" si="14"/>
        <v>#REF!</v>
      </c>
      <c r="Q45" s="165" t="e">
        <f t="shared" si="11"/>
        <v>#REF!</v>
      </c>
      <c r="R45" s="37"/>
      <c r="S45" s="94"/>
      <c r="T45" s="147">
        <f t="shared" si="8"/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7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 t="shared" si="12"/>
        <v>452.55999999999995</v>
      </c>
      <c r="H47" s="164">
        <f t="shared" si="15"/>
        <v>175.42666666666668</v>
      </c>
      <c r="I47" s="165">
        <f t="shared" si="13"/>
        <v>-9947.44</v>
      </c>
      <c r="J47" s="165">
        <f t="shared" si="16"/>
        <v>9.568727272727271</v>
      </c>
      <c r="K47" s="165">
        <v>539.02</v>
      </c>
      <c r="L47" s="165">
        <f t="shared" si="1"/>
        <v>513.54</v>
      </c>
      <c r="M47" s="218">
        <f t="shared" si="17"/>
        <v>1.9527290267522541</v>
      </c>
      <c r="N47" s="164" t="e">
        <f>E47-#REF!</f>
        <v>#REF!</v>
      </c>
      <c r="O47" s="168" t="e">
        <f>F47-#REF!</f>
        <v>#REF!</v>
      </c>
      <c r="P47" s="167" t="e">
        <f t="shared" si="14"/>
        <v>#REF!</v>
      </c>
      <c r="Q47" s="165" t="e">
        <f t="shared" si="11"/>
        <v>#REF!</v>
      </c>
      <c r="R47" s="37"/>
      <c r="S47" s="94"/>
      <c r="T47" s="147">
        <f t="shared" si="8"/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 t="shared" si="12"/>
        <v>19.53</v>
      </c>
      <c r="H48" s="164">
        <f t="shared" si="15"/>
        <v>178.12</v>
      </c>
      <c r="I48" s="165">
        <f t="shared" si="13"/>
        <v>-265.47</v>
      </c>
      <c r="J48" s="165">
        <f t="shared" si="16"/>
        <v>14.364516129032259</v>
      </c>
      <c r="K48" s="165">
        <v>1.03</v>
      </c>
      <c r="L48" s="165">
        <f t="shared" si="1"/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 t="shared" si="14"/>
        <v>#REF!</v>
      </c>
      <c r="Q48" s="165"/>
      <c r="R48" s="37"/>
      <c r="S48" s="94"/>
      <c r="T48" s="147">
        <f t="shared" si="8"/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 t="shared" si="12"/>
        <v>-1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18"/>
      <c r="N49" s="164" t="e">
        <f>E49-#REF!</f>
        <v>#REF!</v>
      </c>
      <c r="O49" s="168" t="e">
        <f>F49-#REF!</f>
        <v>#REF!</v>
      </c>
      <c r="P49" s="167" t="e">
        <f t="shared" si="14"/>
        <v>#REF!</v>
      </c>
      <c r="Q49" s="165" t="e">
        <f t="shared" si="11"/>
        <v>#REF!</v>
      </c>
      <c r="R49" s="37"/>
      <c r="S49" s="94"/>
      <c r="T49" s="147">
        <f t="shared" si="8"/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 t="shared" si="12"/>
        <v>84.99000000000001</v>
      </c>
      <c r="H50" s="164">
        <f t="shared" si="15"/>
        <v>114.165</v>
      </c>
      <c r="I50" s="165">
        <f t="shared" si="13"/>
        <v>-6590.01</v>
      </c>
      <c r="J50" s="165">
        <f t="shared" si="16"/>
        <v>9.415670103092785</v>
      </c>
      <c r="K50" s="165">
        <v>716.23</v>
      </c>
      <c r="L50" s="165">
        <f t="shared" si="1"/>
        <v>-31.24000000000001</v>
      </c>
      <c r="M50" s="218">
        <f t="shared" si="17"/>
        <v>0.9563827262192313</v>
      </c>
      <c r="N50" s="164" t="e">
        <f>E50-#REF!</f>
        <v>#REF!</v>
      </c>
      <c r="O50" s="168" t="e">
        <f>F50-#REF!</f>
        <v>#REF!</v>
      </c>
      <c r="P50" s="167" t="e">
        <f t="shared" si="14"/>
        <v>#REF!</v>
      </c>
      <c r="Q50" s="165" t="e">
        <f t="shared" si="11"/>
        <v>#REF!</v>
      </c>
      <c r="R50" s="37"/>
      <c r="S50" s="94"/>
      <c r="T50" s="147">
        <f t="shared" si="8"/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 t="shared" si="12"/>
        <v>-14.909999999999997</v>
      </c>
      <c r="H51" s="164">
        <f t="shared" si="15"/>
        <v>72.89090909090909</v>
      </c>
      <c r="I51" s="165">
        <f t="shared" si="13"/>
        <v>-1159.91</v>
      </c>
      <c r="J51" s="165">
        <f t="shared" si="16"/>
        <v>3.3408333333333338</v>
      </c>
      <c r="K51" s="165">
        <v>408.2</v>
      </c>
      <c r="L51" s="165">
        <f t="shared" si="1"/>
        <v>-368.11</v>
      </c>
      <c r="M51" s="218">
        <f t="shared" si="17"/>
        <v>0.09821166095051446</v>
      </c>
      <c r="N51" s="164" t="e">
        <f>E51-#REF!</f>
        <v>#REF!</v>
      </c>
      <c r="O51" s="168" t="e">
        <f>F51-#REF!</f>
        <v>#REF!</v>
      </c>
      <c r="P51" s="167" t="e">
        <f t="shared" si="14"/>
        <v>#REF!</v>
      </c>
      <c r="Q51" s="165" t="e">
        <f t="shared" si="11"/>
        <v>#REF!</v>
      </c>
      <c r="R51" s="37"/>
      <c r="S51" s="94"/>
      <c r="T51" s="147">
        <f t="shared" si="8"/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 t="shared" si="12"/>
        <v>-7.189999999999998</v>
      </c>
      <c r="H52" s="30">
        <f t="shared" si="15"/>
        <v>82.025</v>
      </c>
      <c r="I52" s="104">
        <f t="shared" si="13"/>
        <v>-965.19</v>
      </c>
      <c r="J52" s="104">
        <f t="shared" si="16"/>
        <v>3.287575150300601</v>
      </c>
      <c r="K52" s="104">
        <v>25.99</v>
      </c>
      <c r="L52" s="104">
        <f>F52-K52</f>
        <v>6.820000000000004</v>
      </c>
      <c r="M52" s="109">
        <f t="shared" si="17"/>
        <v>1.2624086186995</v>
      </c>
      <c r="N52" s="105" t="e">
        <f>E52-#REF!</f>
        <v>#REF!</v>
      </c>
      <c r="O52" s="144" t="e">
        <f>F52-#REF!</f>
        <v>#REF!</v>
      </c>
      <c r="P52" s="106" t="e">
        <f t="shared" si="14"/>
        <v>#REF!</v>
      </c>
      <c r="Q52" s="119" t="e">
        <f t="shared" si="11"/>
        <v>#REF!</v>
      </c>
      <c r="R52" s="37"/>
      <c r="S52" s="94"/>
      <c r="T52" s="147">
        <f t="shared" si="8"/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 t="shared" si="12"/>
        <v>0.01</v>
      </c>
      <c r="H53" s="30" t="e">
        <f t="shared" si="15"/>
        <v>#DIV/0!</v>
      </c>
      <c r="I53" s="104">
        <f t="shared" si="13"/>
        <v>-0.99</v>
      </c>
      <c r="J53" s="104">
        <f t="shared" si="16"/>
        <v>1</v>
      </c>
      <c r="K53" s="104">
        <v>0.04</v>
      </c>
      <c r="L53" s="104">
        <f>F53-K53</f>
        <v>-0.03</v>
      </c>
      <c r="M53" s="109">
        <f t="shared" si="17"/>
        <v>0.25</v>
      </c>
      <c r="N53" s="105" t="e">
        <f>E53-#REF!</f>
        <v>#REF!</v>
      </c>
      <c r="O53" s="144" t="e">
        <f>F53-#REF!</f>
        <v>#REF!</v>
      </c>
      <c r="P53" s="106" t="e">
        <f t="shared" si="14"/>
        <v>#REF!</v>
      </c>
      <c r="Q53" s="119" t="e">
        <f t="shared" si="11"/>
        <v>#REF!</v>
      </c>
      <c r="R53" s="37"/>
      <c r="S53" s="94"/>
      <c r="T53" s="147">
        <f t="shared" si="8"/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05" t="e">
        <f>E54-#REF!</f>
        <v>#REF!</v>
      </c>
      <c r="O54" s="144" t="e">
        <f>F54-#REF!</f>
        <v>#REF!</v>
      </c>
      <c r="P54" s="106" t="e">
        <f t="shared" si="14"/>
        <v>#REF!</v>
      </c>
      <c r="Q54" s="119"/>
      <c r="R54" s="37"/>
      <c r="S54" s="94"/>
      <c r="T54" s="147">
        <f t="shared" si="8"/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 t="shared" si="12"/>
        <v>-7.73</v>
      </c>
      <c r="H55" s="30">
        <f t="shared" si="15"/>
        <v>48.46666666666666</v>
      </c>
      <c r="I55" s="104">
        <f t="shared" si="13"/>
        <v>-192.73</v>
      </c>
      <c r="J55" s="104">
        <f t="shared" si="16"/>
        <v>3.6350000000000002</v>
      </c>
      <c r="K55" s="104">
        <v>382.17</v>
      </c>
      <c r="L55" s="104">
        <f>F55-K55</f>
        <v>-374.90000000000003</v>
      </c>
      <c r="M55" s="109">
        <f t="shared" si="17"/>
        <v>0.019022947902765784</v>
      </c>
      <c r="N55" s="105" t="e">
        <f>E55-#REF!</f>
        <v>#REF!</v>
      </c>
      <c r="O55" s="144" t="e">
        <f>F55-#REF!</f>
        <v>#REF!</v>
      </c>
      <c r="P55" s="106" t="e">
        <f t="shared" si="14"/>
        <v>#REF!</v>
      </c>
      <c r="Q55" s="119" t="e">
        <f t="shared" si="11"/>
        <v>#REF!</v>
      </c>
      <c r="R55" s="37"/>
      <c r="S55" s="94"/>
      <c r="T55" s="147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 t="shared" si="12"/>
        <v>1.67</v>
      </c>
      <c r="H56" s="164"/>
      <c r="I56" s="165">
        <f t="shared" si="13"/>
        <v>-0.8300000000000001</v>
      </c>
      <c r="J56" s="165">
        <f t="shared" si="16"/>
        <v>66.8</v>
      </c>
      <c r="K56" s="165">
        <v>0.17</v>
      </c>
      <c r="L56" s="165">
        <f>F56-K56</f>
        <v>1.5</v>
      </c>
      <c r="M56" s="218">
        <f t="shared" si="17"/>
        <v>9.823529411764705</v>
      </c>
      <c r="N56" s="164" t="e">
        <f>E56-#REF!</f>
        <v>#REF!</v>
      </c>
      <c r="O56" s="168" t="e">
        <f>F56-#REF!</f>
        <v>#REF!</v>
      </c>
      <c r="P56" s="167" t="e">
        <f t="shared" si="14"/>
        <v>#REF!</v>
      </c>
      <c r="Q56" s="165"/>
      <c r="R56" s="37"/>
      <c r="S56" s="94"/>
      <c r="T56" s="147">
        <f t="shared" si="8"/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 t="shared" si="12"/>
        <v>647.3299999999999</v>
      </c>
      <c r="H57" s="164">
        <f t="shared" si="15"/>
        <v>140.458125</v>
      </c>
      <c r="I57" s="165">
        <f t="shared" si="13"/>
        <v>-5102.67</v>
      </c>
      <c r="J57" s="165">
        <f t="shared" si="16"/>
        <v>30.575918367346937</v>
      </c>
      <c r="K57" s="165">
        <v>317.98</v>
      </c>
      <c r="L57" s="165">
        <f aca="true" t="shared" si="18" ref="L57:L63">F57-K57</f>
        <v>1929.35</v>
      </c>
      <c r="M57" s="218">
        <f t="shared" si="17"/>
        <v>7.067519969809421</v>
      </c>
      <c r="N57" s="164" t="e">
        <f>E57-#REF!</f>
        <v>#REF!</v>
      </c>
      <c r="O57" s="168" t="e">
        <f>F57-#REF!</f>
        <v>#REF!</v>
      </c>
      <c r="P57" s="167" t="e">
        <f t="shared" si="14"/>
        <v>#REF!</v>
      </c>
      <c r="Q57" s="165" t="e">
        <f t="shared" si="11"/>
        <v>#REF!</v>
      </c>
      <c r="R57" s="37"/>
      <c r="S57" s="94"/>
      <c r="T57" s="147">
        <f t="shared" si="8"/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18" t="e">
        <f t="shared" si="17"/>
        <v>#DIV/0!</v>
      </c>
      <c r="N58" s="164" t="e">
        <f>E58-#REF!</f>
        <v>#REF!</v>
      </c>
      <c r="O58" s="168" t="e">
        <f>F58-#REF!</f>
        <v>#REF!</v>
      </c>
      <c r="P58" s="167" t="e">
        <f t="shared" si="14"/>
        <v>#REF!</v>
      </c>
      <c r="Q58" s="165" t="e">
        <f t="shared" si="11"/>
        <v>#REF!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 t="shared" si="18"/>
        <v>97.05000000000001</v>
      </c>
      <c r="M59" s="218">
        <f t="shared" si="17"/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18" t="e">
        <f t="shared" si="17"/>
        <v>#DIV/0!</v>
      </c>
      <c r="N60" s="164" t="e">
        <f>E60-#REF!</f>
        <v>#REF!</v>
      </c>
      <c r="O60" s="168" t="e">
        <f>F60-#REF!</f>
        <v>#REF!</v>
      </c>
      <c r="P60" s="167" t="e">
        <f t="shared" si="14"/>
        <v>#REF!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2"/>
        <v>22.89</v>
      </c>
      <c r="H61" s="164">
        <f t="shared" si="15"/>
        <v>328.90000000000003</v>
      </c>
      <c r="I61" s="165">
        <f t="shared" si="13"/>
        <v>-127.11</v>
      </c>
      <c r="J61" s="165">
        <f t="shared" si="16"/>
        <v>20.556250000000002</v>
      </c>
      <c r="K61" s="165">
        <v>32.19</v>
      </c>
      <c r="L61" s="165">
        <f t="shared" si="18"/>
        <v>0.7000000000000028</v>
      </c>
      <c r="M61" s="218">
        <f t="shared" si="17"/>
        <v>1.0217458838148494</v>
      </c>
      <c r="N61" s="164" t="e">
        <f>E61-#REF!</f>
        <v>#REF!</v>
      </c>
      <c r="O61" s="168" t="e">
        <f>F61-#REF!</f>
        <v>#REF!</v>
      </c>
      <c r="P61" s="167" t="e">
        <f t="shared" si="14"/>
        <v>#REF!</v>
      </c>
      <c r="Q61" s="165"/>
      <c r="R61" s="37"/>
      <c r="S61" s="94"/>
      <c r="T61" s="147">
        <f t="shared" si="8"/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 t="shared" si="12"/>
        <v>0.29000000000000004</v>
      </c>
      <c r="H62" s="164">
        <f t="shared" si="15"/>
        <v>124.16666666666667</v>
      </c>
      <c r="I62" s="165">
        <f t="shared" si="13"/>
        <v>-13.51</v>
      </c>
      <c r="J62" s="165">
        <f t="shared" si="16"/>
        <v>9.933333333333334</v>
      </c>
      <c r="K62" s="165">
        <v>1</v>
      </c>
      <c r="L62" s="165">
        <f t="shared" si="18"/>
        <v>0.49</v>
      </c>
      <c r="M62" s="218">
        <f t="shared" si="17"/>
        <v>1.49</v>
      </c>
      <c r="N62" s="164" t="e">
        <f>E62-#REF!</f>
        <v>#REF!</v>
      </c>
      <c r="O62" s="168" t="e">
        <f>F62-#REF!</f>
        <v>#REF!</v>
      </c>
      <c r="P62" s="167" t="e">
        <f t="shared" si="14"/>
        <v>#REF!</v>
      </c>
      <c r="Q62" s="165" t="e">
        <f t="shared" si="11"/>
        <v>#REF!</v>
      </c>
      <c r="R62" s="37"/>
      <c r="S62" s="94"/>
      <c r="T62" s="147">
        <f t="shared" si="8"/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 t="shared" si="12"/>
        <v>0</v>
      </c>
      <c r="H63" s="164"/>
      <c r="I63" s="165">
        <f t="shared" si="13"/>
        <v>0</v>
      </c>
      <c r="J63" s="165"/>
      <c r="K63" s="165">
        <v>0.54</v>
      </c>
      <c r="L63" s="165">
        <f t="shared" si="18"/>
        <v>-0.54</v>
      </c>
      <c r="M63" s="218">
        <f t="shared" si="17"/>
        <v>0</v>
      </c>
      <c r="N63" s="164" t="e">
        <f>E63-#REF!</f>
        <v>#REF!</v>
      </c>
      <c r="O63" s="168" t="e">
        <f>F63-#REF!</f>
        <v>#REF!</v>
      </c>
      <c r="P63" s="167" t="e">
        <f t="shared" si="14"/>
        <v>#REF!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8"/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</row>
    <row r="69" spans="2:20" ht="25.5" customHeight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8"/>
        <v>0</v>
      </c>
    </row>
    <row r="70" spans="2:20" ht="31.5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8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8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 aca="true" t="shared" si="19" ref="G73:G84">F73-E73</f>
        <v>0.04</v>
      </c>
      <c r="H73" s="164"/>
      <c r="I73" s="167">
        <f aca="true" t="shared" si="20" ref="I73:I84">F73-D73</f>
        <v>-3999.96</v>
      </c>
      <c r="J73" s="167">
        <f>F73/D73*100</f>
        <v>0.001</v>
      </c>
      <c r="K73" s="167">
        <v>0.06</v>
      </c>
      <c r="L73" s="167">
        <f aca="true" t="shared" si="21" ref="L73:L84">F73-K73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 aca="true" t="shared" si="22" ref="P73:P86">O73-N73</f>
        <v>#REF!</v>
      </c>
      <c r="Q73" s="167" t="e">
        <f>O73/N73*100</f>
        <v>#REF!</v>
      </c>
      <c r="R73" s="38"/>
      <c r="S73" s="97"/>
      <c r="T73" s="147">
        <f t="shared" si="8"/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 t="shared" si="19"/>
        <v>-598.1</v>
      </c>
      <c r="H74" s="164">
        <f>F74/E74*100</f>
        <v>0.31666666666666665</v>
      </c>
      <c r="I74" s="167">
        <f t="shared" si="20"/>
        <v>-7998.1</v>
      </c>
      <c r="J74" s="167">
        <f>F74/D74*100</f>
        <v>0.02375</v>
      </c>
      <c r="K74" s="167">
        <v>22.91</v>
      </c>
      <c r="L74" s="167">
        <f t="shared" si="21"/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 t="shared" si="22"/>
        <v>#REF!</v>
      </c>
      <c r="Q74" s="167" t="e">
        <f>O74/N74*100</f>
        <v>#REF!</v>
      </c>
      <c r="R74" s="38"/>
      <c r="S74" s="97"/>
      <c r="T74" s="147">
        <f aca="true" t="shared" si="23" ref="T74:T90">D74-E74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 t="shared" si="19"/>
        <v>-309.88</v>
      </c>
      <c r="H75" s="164">
        <f>F75/E75*100</f>
        <v>22.53</v>
      </c>
      <c r="I75" s="167">
        <f t="shared" si="20"/>
        <v>-9909.88</v>
      </c>
      <c r="J75" s="167">
        <f>F75/D75*100</f>
        <v>0.9012000000000001</v>
      </c>
      <c r="K75" s="167">
        <v>282.85</v>
      </c>
      <c r="L75" s="167">
        <f t="shared" si="21"/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 t="shared" si="22"/>
        <v>#REF!</v>
      </c>
      <c r="Q75" s="167" t="e">
        <f>O75/N75*100</f>
        <v>#REF!</v>
      </c>
      <c r="R75" s="38"/>
      <c r="S75" s="97"/>
      <c r="T75" s="147">
        <f t="shared" si="23"/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 t="shared" si="19"/>
        <v>0</v>
      </c>
      <c r="H76" s="164">
        <f>F76/E76*100</f>
        <v>100</v>
      </c>
      <c r="I76" s="167">
        <f t="shared" si="20"/>
        <v>-11</v>
      </c>
      <c r="J76" s="167">
        <f>F76/D76*100</f>
        <v>8.333333333333332</v>
      </c>
      <c r="K76" s="167">
        <v>1</v>
      </c>
      <c r="L76" s="167">
        <f t="shared" si="21"/>
        <v>0</v>
      </c>
      <c r="M76" s="209"/>
      <c r="N76" s="164" t="e">
        <f>E76-#REF!</f>
        <v>#REF!</v>
      </c>
      <c r="O76" s="168" t="e">
        <f>F76-#REF!</f>
        <v>#REF!</v>
      </c>
      <c r="P76" s="167" t="e">
        <f t="shared" si="22"/>
        <v>#REF!</v>
      </c>
      <c r="Q76" s="167" t="e">
        <f>O76/N76*100</f>
        <v>#REF!</v>
      </c>
      <c r="R76" s="38"/>
      <c r="S76" s="136"/>
      <c r="T76" s="147">
        <f t="shared" si="23"/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 t="shared" si="19"/>
        <v>-907.94</v>
      </c>
      <c r="H77" s="186">
        <f>F77/E77*100</f>
        <v>9.296703296703297</v>
      </c>
      <c r="I77" s="187">
        <f t="shared" si="20"/>
        <v>-21918.94</v>
      </c>
      <c r="J77" s="187">
        <f>F77/D77*100</f>
        <v>0.42276939850990375</v>
      </c>
      <c r="K77" s="187">
        <v>306.82</v>
      </c>
      <c r="L77" s="187">
        <f t="shared" si="21"/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 t="shared" si="22"/>
        <v>#REF!</v>
      </c>
      <c r="Q77" s="187" t="e">
        <f>O77/N77*100</f>
        <v>#REF!</v>
      </c>
      <c r="R77" s="39"/>
      <c r="S77" s="116"/>
      <c r="T77" s="147">
        <f t="shared" si="23"/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 t="shared" si="19"/>
        <v>0.34</v>
      </c>
      <c r="H78" s="164"/>
      <c r="I78" s="167">
        <f t="shared" si="20"/>
        <v>-39.66</v>
      </c>
      <c r="J78" s="167"/>
      <c r="K78" s="167">
        <v>0</v>
      </c>
      <c r="L78" s="167">
        <f t="shared" si="21"/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 t="shared" si="22"/>
        <v>#REF!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2"/>
        <v>#REF!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 t="shared" si="19"/>
        <v>3.9800000000000004</v>
      </c>
      <c r="H80" s="164">
        <f>F80/E80*100</f>
        <v>153.06666666666666</v>
      </c>
      <c r="I80" s="167">
        <f t="shared" si="20"/>
        <v>-8348.52</v>
      </c>
      <c r="J80" s="167">
        <f>F80/D80*100</f>
        <v>0.13732057416267943</v>
      </c>
      <c r="K80" s="167">
        <v>0</v>
      </c>
      <c r="L80" s="167">
        <f t="shared" si="21"/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23"/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 t="shared" si="19"/>
        <v>0</v>
      </c>
      <c r="H81" s="164"/>
      <c r="I81" s="167">
        <f t="shared" si="20"/>
        <v>0</v>
      </c>
      <c r="J81" s="167"/>
      <c r="K81" s="167">
        <v>1.31</v>
      </c>
      <c r="L81" s="167">
        <f t="shared" si="21"/>
        <v>-1.31</v>
      </c>
      <c r="M81" s="209">
        <f aca="true" t="shared" si="24" ref="M81:M86">F81/K81</f>
        <v>0</v>
      </c>
      <c r="N81" s="164" t="e">
        <f>E81-#REF!</f>
        <v>#REF!</v>
      </c>
      <c r="O81" s="168" t="e">
        <f>F81-#REF!</f>
        <v>#REF!</v>
      </c>
      <c r="P81" s="167" t="e">
        <f t="shared" si="22"/>
        <v>#REF!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 t="shared" si="20"/>
        <v>-8388.18</v>
      </c>
      <c r="J82" s="187">
        <f>F82/D82*100</f>
        <v>0.14071428571428574</v>
      </c>
      <c r="K82" s="187">
        <v>0.12</v>
      </c>
      <c r="L82" s="187">
        <f t="shared" si="21"/>
        <v>11.700000000000001</v>
      </c>
      <c r="M82" s="220">
        <f t="shared" si="24"/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23"/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 t="shared" si="19"/>
        <v>-2.06</v>
      </c>
      <c r="H83" s="164">
        <f>F83/E83*100</f>
        <v>14.16666666666667</v>
      </c>
      <c r="I83" s="167">
        <f t="shared" si="20"/>
        <v>-37.66</v>
      </c>
      <c r="J83" s="167">
        <f>F83/D83*100</f>
        <v>0.8947368421052633</v>
      </c>
      <c r="K83" s="167">
        <v>0.35</v>
      </c>
      <c r="L83" s="167">
        <f t="shared" si="21"/>
        <v>-0.009999999999999953</v>
      </c>
      <c r="M83" s="209">
        <f t="shared" si="24"/>
        <v>0.9714285714285715</v>
      </c>
      <c r="N83" s="164" t="e">
        <f>E83-#REF!</f>
        <v>#REF!</v>
      </c>
      <c r="O83" s="168" t="e">
        <f>F83-#REF!</f>
        <v>#REF!</v>
      </c>
      <c r="P83" s="167" t="e">
        <f t="shared" si="22"/>
        <v>#REF!</v>
      </c>
      <c r="Q83" s="167" t="e">
        <f>O83/N83</f>
        <v>#REF!</v>
      </c>
      <c r="R83" s="38"/>
      <c r="S83" s="97"/>
      <c r="T83" s="147">
        <f t="shared" si="23"/>
        <v>35.6</v>
      </c>
    </row>
    <row r="84" spans="2:20" ht="18">
      <c r="B84" s="122" t="s">
        <v>143</v>
      </c>
      <c r="C84" s="43">
        <v>21110000</v>
      </c>
      <c r="D84" s="180">
        <v>0</v>
      </c>
      <c r="E84" s="180">
        <v>0</v>
      </c>
      <c r="F84" s="181">
        <v>11.81</v>
      </c>
      <c r="G84" s="162">
        <f t="shared" si="19"/>
        <v>11.81</v>
      </c>
      <c r="H84" s="164"/>
      <c r="I84" s="167">
        <f t="shared" si="20"/>
        <v>11.81</v>
      </c>
      <c r="J84" s="167"/>
      <c r="K84" s="167">
        <v>0</v>
      </c>
      <c r="L84" s="167">
        <f t="shared" si="21"/>
        <v>11.81</v>
      </c>
      <c r="M84" s="167" t="e">
        <f t="shared" si="24"/>
        <v>#DIV/0!</v>
      </c>
      <c r="N84" s="164" t="e">
        <f>E84-#REF!</f>
        <v>#REF!</v>
      </c>
      <c r="O84" s="168" t="e">
        <f>F84-#REF!</f>
        <v>#REF!</v>
      </c>
      <c r="P84" s="167" t="e">
        <f t="shared" si="22"/>
        <v>#REF!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D71+D83+D77+D82</f>
        <v>30450</v>
      </c>
      <c r="E85" s="191">
        <f>E71+E83+E77+E82</f>
        <v>1010.9</v>
      </c>
      <c r="F85" s="191">
        <f>F71+F83+F77+F82+F84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 t="shared" si="24"/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 t="shared" si="22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3"/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 t="shared" si="24"/>
        <v>1.5605560036841895</v>
      </c>
      <c r="N86" s="192" t="e">
        <f>N64+N85</f>
        <v>#REF!</v>
      </c>
      <c r="O86" s="192" t="e">
        <f>O64+O85</f>
        <v>#REF!</v>
      </c>
      <c r="P86" s="194" t="e">
        <f t="shared" si="22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3"/>
        <v>1289573.7000000002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264"/>
      <c r="H89" s="264"/>
      <c r="I89" s="264"/>
      <c r="J89" s="264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265"/>
      <c r="P90" s="265"/>
      <c r="T90" s="147">
        <f t="shared" si="23"/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266"/>
      <c r="H91" s="266"/>
      <c r="I91" s="118"/>
      <c r="J91" s="267"/>
      <c r="K91" s="267"/>
      <c r="L91" s="267"/>
      <c r="M91" s="267"/>
      <c r="N91" s="267"/>
      <c r="O91" s="265"/>
      <c r="P91" s="265"/>
    </row>
    <row r="92" spans="3:16" ht="15.75" customHeight="1">
      <c r="C92" s="81">
        <v>42762</v>
      </c>
      <c r="D92" s="29">
        <v>8862.4</v>
      </c>
      <c r="F92" s="68"/>
      <c r="G92" s="266"/>
      <c r="H92" s="266"/>
      <c r="I92" s="118"/>
      <c r="J92" s="268"/>
      <c r="K92" s="268"/>
      <c r="L92" s="268"/>
      <c r="M92" s="268"/>
      <c r="N92" s="268"/>
      <c r="O92" s="265"/>
      <c r="P92" s="265"/>
    </row>
    <row r="93" spans="3:14" ht="15.75" customHeight="1">
      <c r="C93" s="81"/>
      <c r="F93" s="68"/>
      <c r="G93" s="272"/>
      <c r="H93" s="272"/>
      <c r="I93" s="124"/>
      <c r="J93" s="267"/>
      <c r="K93" s="267"/>
      <c r="L93" s="267"/>
      <c r="M93" s="267"/>
      <c r="N93" s="267"/>
    </row>
    <row r="94" spans="2:14" ht="18.75" customHeight="1">
      <c r="B94" s="273" t="s">
        <v>56</v>
      </c>
      <c r="C94" s="274"/>
      <c r="D94" s="133">
        <f>9505303.41/1000</f>
        <v>9505.30341</v>
      </c>
      <c r="E94" s="69"/>
      <c r="F94" s="125" t="s">
        <v>107</v>
      </c>
      <c r="G94" s="266"/>
      <c r="H94" s="266"/>
      <c r="I94" s="126"/>
      <c r="J94" s="267"/>
      <c r="K94" s="267"/>
      <c r="L94" s="267"/>
      <c r="M94" s="267"/>
      <c r="N94" s="267"/>
    </row>
    <row r="95" spans="6:13" ht="9.75" customHeight="1">
      <c r="F95" s="68"/>
      <c r="G95" s="266"/>
      <c r="H95" s="266"/>
      <c r="I95" s="68"/>
      <c r="J95" s="69"/>
      <c r="K95" s="69"/>
      <c r="L95" s="69"/>
      <c r="M95" s="69"/>
    </row>
    <row r="96" spans="2:13" ht="22.5" customHeight="1" hidden="1">
      <c r="B96" s="269" t="s">
        <v>59</v>
      </c>
      <c r="C96" s="270"/>
      <c r="D96" s="80">
        <v>0</v>
      </c>
      <c r="E96" s="51" t="s">
        <v>24</v>
      </c>
      <c r="F96" s="68"/>
      <c r="G96" s="266"/>
      <c r="H96" s="266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271"/>
      <c r="P98" s="271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 aca="true" t="shared" si="25" ref="K100:P100">K40+K41+K43+K45+K47+K48+K49+K50+K51+K57+K61+K44</f>
        <v>2026.0900000000001</v>
      </c>
      <c r="L100" s="29">
        <f t="shared" si="25"/>
        <v>2191.7899999999995</v>
      </c>
      <c r="M100" s="29">
        <f t="shared" si="25"/>
        <v>10.18479694691847</v>
      </c>
      <c r="N100" s="29" t="e">
        <f t="shared" si="25"/>
        <v>#REF!</v>
      </c>
      <c r="O100" s="229" t="e">
        <f t="shared" si="25"/>
        <v>#REF!</v>
      </c>
      <c r="P100" s="29" t="e">
        <f t="shared" si="25"/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6" ref="E101:P101">SUM(E99:E100)</f>
        <v>97356.5</v>
      </c>
      <c r="F101" s="229">
        <f t="shared" si="26"/>
        <v>98086.19</v>
      </c>
      <c r="G101" s="29">
        <f t="shared" si="26"/>
        <v>729.6900000000005</v>
      </c>
      <c r="H101" s="230">
        <f>F101/E101</f>
        <v>1.007495031148408</v>
      </c>
      <c r="I101" s="29">
        <f t="shared" si="26"/>
        <v>-1259404.9100000001</v>
      </c>
      <c r="J101" s="230">
        <f>F101/D101</f>
        <v>0.07225549397708758</v>
      </c>
      <c r="K101" s="29">
        <f t="shared" si="26"/>
        <v>2026.0900000000001</v>
      </c>
      <c r="L101" s="29">
        <f t="shared" si="26"/>
        <v>2191.7899999999995</v>
      </c>
      <c r="M101" s="29">
        <f t="shared" si="26"/>
        <v>10.18479694691847</v>
      </c>
      <c r="N101" s="29" t="e">
        <f t="shared" si="26"/>
        <v>#REF!</v>
      </c>
      <c r="O101" s="229" t="e">
        <f t="shared" si="26"/>
        <v>#REF!</v>
      </c>
      <c r="P101" s="29" t="e">
        <f t="shared" si="26"/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1.8189894035458565E-12</v>
      </c>
      <c r="H102" s="230"/>
      <c r="I102" s="29">
        <f t="shared" si="27"/>
        <v>0</v>
      </c>
      <c r="J102" s="230"/>
      <c r="K102" s="29">
        <f t="shared" si="27"/>
        <v>60586.5</v>
      </c>
      <c r="L102" s="29">
        <f t="shared" si="27"/>
        <v>33281.810000000005</v>
      </c>
      <c r="M102" s="29">
        <f t="shared" si="27"/>
        <v>-8.618239965327387</v>
      </c>
      <c r="N102" s="29" t="e">
        <f t="shared" si="27"/>
        <v>#REF!</v>
      </c>
      <c r="O102" s="29" t="e">
        <f t="shared" si="27"/>
        <v>#REF!</v>
      </c>
      <c r="P102" s="29" t="e">
        <f t="shared" si="27"/>
        <v>#REF!</v>
      </c>
      <c r="Q102" s="29"/>
      <c r="R102" s="29" t="e">
        <f t="shared" si="27"/>
        <v>#REF!</v>
      </c>
      <c r="S102" s="29" t="e">
        <f t="shared" si="27"/>
        <v>#REF!</v>
      </c>
      <c r="T102" s="29">
        <f t="shared" si="27"/>
        <v>1260134.6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zoomScale="76" zoomScaleNormal="76" zoomScalePageLayoutView="0" workbookViewId="0" topLeftCell="B1">
      <pane xSplit="2" ySplit="8" topLeftCell="D1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30" sqref="B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238" t="s">
        <v>132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86"/>
      <c r="S1" s="87"/>
    </row>
    <row r="2" spans="2:19" s="1" customFormat="1" ht="15.75" customHeight="1">
      <c r="B2" s="239"/>
      <c r="C2" s="239"/>
      <c r="D2" s="239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240"/>
      <c r="B3" s="242"/>
      <c r="C3" s="243" t="s">
        <v>0</v>
      </c>
      <c r="D3" s="244" t="s">
        <v>126</v>
      </c>
      <c r="E3" s="32"/>
      <c r="F3" s="245" t="s">
        <v>26</v>
      </c>
      <c r="G3" s="246"/>
      <c r="H3" s="246"/>
      <c r="I3" s="246"/>
      <c r="J3" s="247"/>
      <c r="K3" s="83"/>
      <c r="L3" s="83"/>
      <c r="M3" s="83"/>
      <c r="N3" s="248" t="s">
        <v>129</v>
      </c>
      <c r="O3" s="251" t="s">
        <v>125</v>
      </c>
      <c r="P3" s="251"/>
      <c r="Q3" s="251"/>
      <c r="R3" s="251"/>
      <c r="S3" s="251"/>
    </row>
    <row r="4" spans="1:19" ht="22.5" customHeight="1">
      <c r="A4" s="240"/>
      <c r="B4" s="242"/>
      <c r="C4" s="243"/>
      <c r="D4" s="244"/>
      <c r="E4" s="252" t="s">
        <v>127</v>
      </c>
      <c r="F4" s="254" t="s">
        <v>33</v>
      </c>
      <c r="G4" s="256" t="s">
        <v>128</v>
      </c>
      <c r="H4" s="249" t="s">
        <v>122</v>
      </c>
      <c r="I4" s="256" t="s">
        <v>103</v>
      </c>
      <c r="J4" s="249" t="s">
        <v>104</v>
      </c>
      <c r="K4" s="85" t="s">
        <v>114</v>
      </c>
      <c r="L4" s="204" t="s">
        <v>113</v>
      </c>
      <c r="M4" s="90" t="s">
        <v>63</v>
      </c>
      <c r="N4" s="249"/>
      <c r="O4" s="258" t="s">
        <v>133</v>
      </c>
      <c r="P4" s="256" t="s">
        <v>49</v>
      </c>
      <c r="Q4" s="260" t="s">
        <v>48</v>
      </c>
      <c r="R4" s="91" t="s">
        <v>64</v>
      </c>
      <c r="S4" s="92" t="s">
        <v>63</v>
      </c>
    </row>
    <row r="5" spans="1:19" ht="67.5" customHeight="1">
      <c r="A5" s="241"/>
      <c r="B5" s="242"/>
      <c r="C5" s="243"/>
      <c r="D5" s="244"/>
      <c r="E5" s="253"/>
      <c r="F5" s="255"/>
      <c r="G5" s="257"/>
      <c r="H5" s="250"/>
      <c r="I5" s="257"/>
      <c r="J5" s="250"/>
      <c r="K5" s="261" t="s">
        <v>130</v>
      </c>
      <c r="L5" s="262"/>
      <c r="M5" s="263"/>
      <c r="N5" s="250"/>
      <c r="O5" s="259"/>
      <c r="P5" s="257"/>
      <c r="Q5" s="260"/>
      <c r="R5" s="261" t="s">
        <v>102</v>
      </c>
      <c r="S5" s="263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 aca="true" t="shared" si="0" ref="G8:G37">F8-E8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 aca="true" t="shared" si="1" ref="L8:L51">F8-K8</f>
        <v>312102.93000000005</v>
      </c>
      <c r="M8" s="205">
        <f aca="true" t="shared" si="2" ref="M8:M28">F8/K8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 t="shared" si="0"/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 t="shared" si="1"/>
        <v>169104.01000000007</v>
      </c>
      <c r="M9" s="206">
        <f t="shared" si="2"/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 aca="true" t="shared" si="3" ref="E10:E19">D10</f>
        <v>485209</v>
      </c>
      <c r="F10" s="140">
        <v>476189.93</v>
      </c>
      <c r="G10" s="103">
        <f t="shared" si="0"/>
        <v>-9019.070000000007</v>
      </c>
      <c r="H10" s="30">
        <f aca="true" t="shared" si="4" ref="H10:H36">F10/E10*100</f>
        <v>98.14119894725778</v>
      </c>
      <c r="I10" s="104">
        <f aca="true" t="shared" si="5" ref="I10:I37">F10-D10</f>
        <v>-9019.070000000007</v>
      </c>
      <c r="J10" s="104">
        <f aca="true" t="shared" si="6" ref="J10:J36">F10/D10*100</f>
        <v>98.14119894725778</v>
      </c>
      <c r="K10" s="106">
        <v>329938.9</v>
      </c>
      <c r="L10" s="106">
        <f t="shared" si="1"/>
        <v>146251.02999999997</v>
      </c>
      <c r="M10" s="207">
        <f t="shared" si="2"/>
        <v>1.4432670109526338</v>
      </c>
      <c r="N10" s="105" t="e">
        <f>E10-#REF!</f>
        <v>#REF!</v>
      </c>
      <c r="O10" s="144" t="e">
        <f>F10-#REF!</f>
        <v>#REF!</v>
      </c>
      <c r="P10" s="106" t="e">
        <f aca="true" t="shared" si="7" ref="P10:P37">O10-N10</f>
        <v>#REF!</v>
      </c>
      <c r="Q10" s="158" t="e">
        <f aca="true" t="shared" si="8" ref="Q10:Q16">O10/N10*100</f>
        <v>#REF!</v>
      </c>
      <c r="R10" s="37"/>
      <c r="S10" s="94"/>
      <c r="T10" s="147">
        <f aca="true" t="shared" si="9" ref="T10:T73">D10-E10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 t="shared" si="3"/>
        <v>30005.4</v>
      </c>
      <c r="F11" s="140">
        <v>42401.33</v>
      </c>
      <c r="G11" s="103">
        <f t="shared" si="0"/>
        <v>12395.93</v>
      </c>
      <c r="H11" s="30">
        <f t="shared" si="4"/>
        <v>141.31233044718616</v>
      </c>
      <c r="I11" s="104">
        <f t="shared" si="5"/>
        <v>12395.93</v>
      </c>
      <c r="J11" s="104">
        <f t="shared" si="6"/>
        <v>141.31233044718616</v>
      </c>
      <c r="K11" s="106">
        <v>20742.02</v>
      </c>
      <c r="L11" s="106">
        <f t="shared" si="1"/>
        <v>21659.31</v>
      </c>
      <c r="M11" s="207">
        <f t="shared" si="2"/>
        <v>2.0442237544848574</v>
      </c>
      <c r="N11" s="105" t="e">
        <f>E11-#REF!</f>
        <v>#REF!</v>
      </c>
      <c r="O11" s="144" t="e">
        <f>F11-#REF!</f>
        <v>#REF!</v>
      </c>
      <c r="P11" s="106" t="e">
        <f t="shared" si="7"/>
        <v>#REF!</v>
      </c>
      <c r="Q11" s="158" t="e">
        <f t="shared" si="8"/>
        <v>#REF!</v>
      </c>
      <c r="R11" s="37"/>
      <c r="S11" s="94"/>
      <c r="T11" s="147">
        <f t="shared" si="9"/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 t="shared" si="3"/>
        <v>6500</v>
      </c>
      <c r="F12" s="140">
        <v>10663.92</v>
      </c>
      <c r="G12" s="103">
        <f t="shared" si="0"/>
        <v>4163.92</v>
      </c>
      <c r="H12" s="30">
        <f t="shared" si="4"/>
        <v>164.06030769230767</v>
      </c>
      <c r="I12" s="104">
        <f t="shared" si="5"/>
        <v>4163.92</v>
      </c>
      <c r="J12" s="104">
        <f t="shared" si="6"/>
        <v>164.06030769230767</v>
      </c>
      <c r="K12" s="106">
        <v>5604.18</v>
      </c>
      <c r="L12" s="106">
        <f t="shared" si="1"/>
        <v>5059.74</v>
      </c>
      <c r="M12" s="207">
        <f t="shared" si="2"/>
        <v>1.9028510861535495</v>
      </c>
      <c r="N12" s="105" t="e">
        <f>E12-#REF!</f>
        <v>#REF!</v>
      </c>
      <c r="O12" s="144" t="e">
        <f>F12-#REF!</f>
        <v>#REF!</v>
      </c>
      <c r="P12" s="106" t="e">
        <f t="shared" si="7"/>
        <v>#REF!</v>
      </c>
      <c r="Q12" s="158" t="e">
        <f t="shared" si="8"/>
        <v>#REF!</v>
      </c>
      <c r="R12" s="37"/>
      <c r="S12" s="94"/>
      <c r="T12" s="147">
        <f t="shared" si="9"/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 t="shared" si="3"/>
        <v>12400</v>
      </c>
      <c r="F13" s="140">
        <v>9532.64</v>
      </c>
      <c r="G13" s="103">
        <f t="shared" si="0"/>
        <v>-2867.3600000000006</v>
      </c>
      <c r="H13" s="30">
        <f t="shared" si="4"/>
        <v>76.87612903225805</v>
      </c>
      <c r="I13" s="104">
        <f t="shared" si="5"/>
        <v>-2867.3600000000006</v>
      </c>
      <c r="J13" s="104">
        <f t="shared" si="6"/>
        <v>76.87612903225805</v>
      </c>
      <c r="K13" s="106">
        <v>7282.62</v>
      </c>
      <c r="L13" s="106">
        <f t="shared" si="1"/>
        <v>2250.0199999999995</v>
      </c>
      <c r="M13" s="207">
        <f t="shared" si="2"/>
        <v>1.3089574905734473</v>
      </c>
      <c r="N13" s="105" t="e">
        <f>E13-#REF!</f>
        <v>#REF!</v>
      </c>
      <c r="O13" s="144" t="e">
        <f>F13-#REF!</f>
        <v>#REF!</v>
      </c>
      <c r="P13" s="106" t="e">
        <f t="shared" si="7"/>
        <v>#REF!</v>
      </c>
      <c r="Q13" s="158" t="e">
        <f t="shared" si="8"/>
        <v>#REF!</v>
      </c>
      <c r="R13" s="37"/>
      <c r="S13" s="94"/>
      <c r="T13" s="147">
        <f t="shared" si="9"/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 t="shared" si="3"/>
        <v>3480</v>
      </c>
      <c r="F14" s="140">
        <v>3120.73</v>
      </c>
      <c r="G14" s="103">
        <f t="shared" si="0"/>
        <v>-359.27</v>
      </c>
      <c r="H14" s="30">
        <f t="shared" si="4"/>
        <v>89.67614942528735</v>
      </c>
      <c r="I14" s="104">
        <f t="shared" si="5"/>
        <v>-359.27</v>
      </c>
      <c r="J14" s="104">
        <f t="shared" si="6"/>
        <v>89.67614942528735</v>
      </c>
      <c r="K14" s="106">
        <v>9236.82</v>
      </c>
      <c r="L14" s="106">
        <f t="shared" si="1"/>
        <v>-6116.09</v>
      </c>
      <c r="M14" s="207">
        <f t="shared" si="2"/>
        <v>0.337857617664954</v>
      </c>
      <c r="N14" s="105" t="e">
        <f>E14-#REF!</f>
        <v>#REF!</v>
      </c>
      <c r="O14" s="144" t="e">
        <f>F14-#REF!</f>
        <v>#REF!</v>
      </c>
      <c r="P14" s="106" t="e">
        <f t="shared" si="7"/>
        <v>#REF!</v>
      </c>
      <c r="Q14" s="158" t="e">
        <f t="shared" si="8"/>
        <v>#REF!</v>
      </c>
      <c r="R14" s="37"/>
      <c r="S14" s="94"/>
      <c r="T14" s="147">
        <f t="shared" si="9"/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 t="shared" si="3"/>
        <v>500</v>
      </c>
      <c r="F15" s="156">
        <v>459.29</v>
      </c>
      <c r="G15" s="150">
        <f t="shared" si="0"/>
        <v>-40.70999999999998</v>
      </c>
      <c r="H15" s="157">
        <f>F15/E15*100</f>
        <v>91.858</v>
      </c>
      <c r="I15" s="158">
        <f t="shared" si="5"/>
        <v>-40.70999999999998</v>
      </c>
      <c r="J15" s="158">
        <f t="shared" si="6"/>
        <v>91.858</v>
      </c>
      <c r="K15" s="161">
        <v>-522.93</v>
      </c>
      <c r="L15" s="161">
        <f t="shared" si="1"/>
        <v>982.22</v>
      </c>
      <c r="M15" s="208">
        <f t="shared" si="2"/>
        <v>-0.8783011110473679</v>
      </c>
      <c r="N15" s="157" t="e">
        <f>E15-#REF!</f>
        <v>#REF!</v>
      </c>
      <c r="O15" s="160" t="e">
        <f>F15-#REF!</f>
        <v>#REF!</v>
      </c>
      <c r="P15" s="161" t="e">
        <f t="shared" si="7"/>
        <v>#REF!</v>
      </c>
      <c r="Q15" s="158" t="e">
        <f t="shared" si="8"/>
        <v>#REF!</v>
      </c>
      <c r="R15" s="37"/>
      <c r="S15" s="94"/>
      <c r="T15" s="147">
        <f t="shared" si="9"/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 t="shared" si="3"/>
        <v>0</v>
      </c>
      <c r="F16" s="140">
        <v>0</v>
      </c>
      <c r="G16" s="34">
        <f t="shared" si="0"/>
        <v>0</v>
      </c>
      <c r="H16" s="30" t="e">
        <f t="shared" si="4"/>
        <v>#DIV/0!</v>
      </c>
      <c r="I16" s="37">
        <f t="shared" si="5"/>
        <v>0</v>
      </c>
      <c r="J16" s="37" t="e">
        <f t="shared" si="6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 t="e">
        <f>E16-#REF!</f>
        <v>#REF!</v>
      </c>
      <c r="O16" s="160" t="e">
        <f>F16-#REF!</f>
        <v>#REF!</v>
      </c>
      <c r="P16" s="36" t="e">
        <f t="shared" si="7"/>
        <v>#REF!</v>
      </c>
      <c r="Q16" s="158" t="e">
        <f t="shared" si="8"/>
        <v>#REF!</v>
      </c>
      <c r="R16" s="104" t="e">
        <f>O16-358.81</f>
        <v>#REF!</v>
      </c>
      <c r="S16" s="109" t="e">
        <f>O16/358.79</f>
        <v>#REF!</v>
      </c>
      <c r="T16" s="147">
        <f t="shared" si="9"/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 t="shared" si="3"/>
        <v>0</v>
      </c>
      <c r="F17" s="163">
        <v>0.17</v>
      </c>
      <c r="G17" s="162">
        <f t="shared" si="0"/>
        <v>0.17</v>
      </c>
      <c r="H17" s="164"/>
      <c r="I17" s="165">
        <f t="shared" si="5"/>
        <v>0.17</v>
      </c>
      <c r="J17" s="165"/>
      <c r="K17" s="167">
        <v>0.14</v>
      </c>
      <c r="L17" s="161">
        <f t="shared" si="1"/>
        <v>0.03</v>
      </c>
      <c r="M17" s="208">
        <f t="shared" si="2"/>
        <v>1.2142857142857142</v>
      </c>
      <c r="N17" s="157" t="e">
        <f>E17-#REF!</f>
        <v>#REF!</v>
      </c>
      <c r="O17" s="160" t="e">
        <f>F17-#REF!</f>
        <v>#REF!</v>
      </c>
      <c r="P17" s="167" t="e">
        <f t="shared" si="7"/>
        <v>#REF!</v>
      </c>
      <c r="Q17" s="158"/>
      <c r="R17" s="104"/>
      <c r="S17" s="109"/>
      <c r="T17" s="147">
        <f t="shared" si="9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 t="shared" si="3"/>
        <v>105.8</v>
      </c>
      <c r="F18" s="156">
        <v>124.7</v>
      </c>
      <c r="G18" s="150">
        <f t="shared" si="0"/>
        <v>18.900000000000006</v>
      </c>
      <c r="H18" s="157">
        <f t="shared" si="4"/>
        <v>117.86389413988658</v>
      </c>
      <c r="I18" s="158">
        <f t="shared" si="5"/>
        <v>18.900000000000006</v>
      </c>
      <c r="J18" s="158">
        <f t="shared" si="6"/>
        <v>117.86389413988658</v>
      </c>
      <c r="K18" s="161">
        <v>107.4</v>
      </c>
      <c r="L18" s="161">
        <f t="shared" si="1"/>
        <v>17.299999999999997</v>
      </c>
      <c r="M18" s="208">
        <f t="shared" si="2"/>
        <v>1.1610800744878957</v>
      </c>
      <c r="N18" s="157" t="e">
        <f>E18-#REF!</f>
        <v>#REF!</v>
      </c>
      <c r="O18" s="160" t="e">
        <f>F18-#REF!</f>
        <v>#REF!</v>
      </c>
      <c r="P18" s="161" t="e">
        <f t="shared" si="7"/>
        <v>#REF!</v>
      </c>
      <c r="Q18" s="158"/>
      <c r="R18" s="37"/>
      <c r="S18" s="94"/>
      <c r="T18" s="147">
        <f t="shared" si="9"/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 t="shared" si="3"/>
        <v>101000</v>
      </c>
      <c r="F19" s="156">
        <v>101799.72</v>
      </c>
      <c r="G19" s="150">
        <f t="shared" si="0"/>
        <v>799.7200000000012</v>
      </c>
      <c r="H19" s="157">
        <f t="shared" si="4"/>
        <v>100.79180198019802</v>
      </c>
      <c r="I19" s="158">
        <f t="shared" si="5"/>
        <v>799.7200000000012</v>
      </c>
      <c r="J19" s="158">
        <f t="shared" si="6"/>
        <v>100.79180198019802</v>
      </c>
      <c r="K19" s="169">
        <v>70426.38</v>
      </c>
      <c r="L19" s="161">
        <f t="shared" si="1"/>
        <v>31373.339999999997</v>
      </c>
      <c r="M19" s="213">
        <f t="shared" si="2"/>
        <v>1.4454771067318808</v>
      </c>
      <c r="N19" s="157" t="e">
        <f>E19-#REF!</f>
        <v>#REF!</v>
      </c>
      <c r="O19" s="160" t="e">
        <f>F19-#REF!</f>
        <v>#REF!</v>
      </c>
      <c r="P19" s="161" t="e">
        <f t="shared" si="7"/>
        <v>#REF!</v>
      </c>
      <c r="Q19" s="158" t="e">
        <f aca="true" t="shared" si="10" ref="Q19:Q24">O19/N19*100</f>
        <v>#REF!</v>
      </c>
      <c r="R19" s="107"/>
      <c r="S19" s="108"/>
      <c r="T19" s="147">
        <f t="shared" si="9"/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 t="shared" si="0"/>
        <v>4343.859999999986</v>
      </c>
      <c r="H20" s="157">
        <f t="shared" si="4"/>
        <v>101.2922014881917</v>
      </c>
      <c r="I20" s="158">
        <f t="shared" si="5"/>
        <v>4343.859999999986</v>
      </c>
      <c r="J20" s="158">
        <f t="shared" si="6"/>
        <v>101.2922014881917</v>
      </c>
      <c r="K20" s="158">
        <v>223108.59</v>
      </c>
      <c r="L20" s="161">
        <f t="shared" si="1"/>
        <v>117394.92000000001</v>
      </c>
      <c r="M20" s="209">
        <f t="shared" si="2"/>
        <v>1.5261783959102606</v>
      </c>
      <c r="N20" s="157" t="e">
        <f>N21+N30+N31+N32</f>
        <v>#REF!</v>
      </c>
      <c r="O20" s="160" t="e">
        <f>F20-#REF!</f>
        <v>#REF!</v>
      </c>
      <c r="P20" s="161" t="e">
        <f t="shared" si="7"/>
        <v>#REF!</v>
      </c>
      <c r="Q20" s="158" t="e">
        <f t="shared" si="10"/>
        <v>#REF!</v>
      </c>
      <c r="R20" s="107"/>
      <c r="S20" s="108"/>
      <c r="T20" s="147">
        <f t="shared" si="9"/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 t="shared" si="0"/>
        <v>1750.4000000000233</v>
      </c>
      <c r="H21" s="157">
        <f t="shared" si="4"/>
        <v>100.96951086614862</v>
      </c>
      <c r="I21" s="158">
        <f t="shared" si="5"/>
        <v>1750.4000000000233</v>
      </c>
      <c r="J21" s="158">
        <f t="shared" si="6"/>
        <v>100.96951086614862</v>
      </c>
      <c r="K21" s="158">
        <v>119601.42</v>
      </c>
      <c r="L21" s="161">
        <f t="shared" si="1"/>
        <v>62693.63000000002</v>
      </c>
      <c r="M21" s="209">
        <f t="shared" si="2"/>
        <v>1.524188007132357</v>
      </c>
      <c r="N21" s="157" t="e">
        <f>N22+N25+N26</f>
        <v>#REF!</v>
      </c>
      <c r="O21" s="160" t="e">
        <f>F21-#REF!</f>
        <v>#REF!</v>
      </c>
      <c r="P21" s="161" t="e">
        <f t="shared" si="7"/>
        <v>#REF!</v>
      </c>
      <c r="Q21" s="158" t="e">
        <f t="shared" si="10"/>
        <v>#REF!</v>
      </c>
      <c r="R21" s="107"/>
      <c r="S21" s="108"/>
      <c r="T21" s="147">
        <f t="shared" si="9"/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 aca="true" t="shared" si="11" ref="E22:E30">D22</f>
        <v>21000</v>
      </c>
      <c r="F22" s="172">
        <v>21482.16</v>
      </c>
      <c r="G22" s="171">
        <f t="shared" si="0"/>
        <v>482.15999999999985</v>
      </c>
      <c r="H22" s="173">
        <f t="shared" si="4"/>
        <v>102.296</v>
      </c>
      <c r="I22" s="174">
        <f t="shared" si="5"/>
        <v>482.15999999999985</v>
      </c>
      <c r="J22" s="174">
        <f t="shared" si="6"/>
        <v>102.296</v>
      </c>
      <c r="K22" s="175">
        <v>13340.12</v>
      </c>
      <c r="L22" s="166">
        <f t="shared" si="1"/>
        <v>8142.039999999999</v>
      </c>
      <c r="M22" s="215">
        <f t="shared" si="2"/>
        <v>1.6103423357511026</v>
      </c>
      <c r="N22" s="173" t="e">
        <f>E22-#REF!</f>
        <v>#REF!</v>
      </c>
      <c r="O22" s="176" t="e">
        <f>F22-#REF!</f>
        <v>#REF!</v>
      </c>
      <c r="P22" s="177" t="e">
        <f t="shared" si="7"/>
        <v>#REF!</v>
      </c>
      <c r="Q22" s="174" t="e">
        <f t="shared" si="10"/>
        <v>#REF!</v>
      </c>
      <c r="R22" s="107"/>
      <c r="S22" s="108"/>
      <c r="T22" s="147">
        <f t="shared" si="9"/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 t="shared" si="11"/>
        <v>2000</v>
      </c>
      <c r="F23" s="163">
        <v>842.7</v>
      </c>
      <c r="G23" s="198">
        <f t="shared" si="0"/>
        <v>-1157.3</v>
      </c>
      <c r="H23" s="199">
        <f t="shared" si="4"/>
        <v>42.135</v>
      </c>
      <c r="I23" s="200">
        <f t="shared" si="5"/>
        <v>-1157.3</v>
      </c>
      <c r="J23" s="200">
        <f t="shared" si="6"/>
        <v>42.135</v>
      </c>
      <c r="K23" s="200">
        <v>716.11</v>
      </c>
      <c r="L23" s="200">
        <f t="shared" si="1"/>
        <v>126.59000000000003</v>
      </c>
      <c r="M23" s="228">
        <f t="shared" si="2"/>
        <v>1.1767745178813311</v>
      </c>
      <c r="N23" s="199" t="e">
        <f>E23-#REF!</f>
        <v>#REF!</v>
      </c>
      <c r="O23" s="199" t="e">
        <f>F23-#REF!</f>
        <v>#REF!</v>
      </c>
      <c r="P23" s="200" t="e">
        <f t="shared" si="7"/>
        <v>#REF!</v>
      </c>
      <c r="Q23" s="200" t="e">
        <f t="shared" si="10"/>
        <v>#REF!</v>
      </c>
      <c r="R23" s="107"/>
      <c r="S23" s="108"/>
      <c r="T23" s="147">
        <f t="shared" si="9"/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 t="shared" si="11"/>
        <v>19000</v>
      </c>
      <c r="F24" s="163">
        <v>20639.46</v>
      </c>
      <c r="G24" s="198">
        <f t="shared" si="0"/>
        <v>1639.4599999999991</v>
      </c>
      <c r="H24" s="199">
        <f t="shared" si="4"/>
        <v>108.62873684210525</v>
      </c>
      <c r="I24" s="200">
        <f t="shared" si="5"/>
        <v>1639.4599999999991</v>
      </c>
      <c r="J24" s="200">
        <f t="shared" si="6"/>
        <v>108.62873684210525</v>
      </c>
      <c r="K24" s="200">
        <v>12624.02</v>
      </c>
      <c r="L24" s="200">
        <f t="shared" si="1"/>
        <v>8015.439999999999</v>
      </c>
      <c r="M24" s="228">
        <f t="shared" si="2"/>
        <v>1.6349356227255658</v>
      </c>
      <c r="N24" s="199" t="e">
        <f>E24-#REF!</f>
        <v>#REF!</v>
      </c>
      <c r="O24" s="199" t="e">
        <f>F24-#REF!</f>
        <v>#REF!</v>
      </c>
      <c r="P24" s="200" t="e">
        <f t="shared" si="7"/>
        <v>#REF!</v>
      </c>
      <c r="Q24" s="200" t="e">
        <f t="shared" si="10"/>
        <v>#REF!</v>
      </c>
      <c r="R24" s="107"/>
      <c r="S24" s="108"/>
      <c r="T24" s="147">
        <f t="shared" si="9"/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 t="shared" si="11"/>
        <v>845</v>
      </c>
      <c r="F25" s="172">
        <v>701.85</v>
      </c>
      <c r="G25" s="171">
        <f t="shared" si="0"/>
        <v>-143.14999999999998</v>
      </c>
      <c r="H25" s="173">
        <f t="shared" si="4"/>
        <v>83.05917159763314</v>
      </c>
      <c r="I25" s="174">
        <f t="shared" si="5"/>
        <v>-143.14999999999998</v>
      </c>
      <c r="J25" s="174">
        <f t="shared" si="6"/>
        <v>83.05917159763314</v>
      </c>
      <c r="K25" s="174">
        <v>3879.26</v>
      </c>
      <c r="L25" s="174">
        <f t="shared" si="1"/>
        <v>-3177.4100000000003</v>
      </c>
      <c r="M25" s="212">
        <f t="shared" si="2"/>
        <v>0.18092368132066425</v>
      </c>
      <c r="N25" s="173" t="e">
        <f>E25-#REF!</f>
        <v>#REF!</v>
      </c>
      <c r="O25" s="176" t="e">
        <f>F25-#REF!</f>
        <v>#REF!</v>
      </c>
      <c r="P25" s="177" t="e">
        <f t="shared" si="7"/>
        <v>#REF!</v>
      </c>
      <c r="Q25" s="174"/>
      <c r="R25" s="107"/>
      <c r="S25" s="108"/>
      <c r="T25" s="147">
        <f t="shared" si="9"/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 t="shared" si="11"/>
        <v>158699.65</v>
      </c>
      <c r="F26" s="172">
        <v>160111.04</v>
      </c>
      <c r="G26" s="171">
        <f t="shared" si="0"/>
        <v>1411.390000000014</v>
      </c>
      <c r="H26" s="173">
        <f t="shared" si="4"/>
        <v>100.88934663687034</v>
      </c>
      <c r="I26" s="174">
        <f t="shared" si="5"/>
        <v>1411.390000000014</v>
      </c>
      <c r="J26" s="174">
        <f t="shared" si="6"/>
        <v>100.88934663687034</v>
      </c>
      <c r="K26" s="175">
        <v>102382.03</v>
      </c>
      <c r="L26" s="175">
        <f t="shared" si="1"/>
        <v>57729.01000000001</v>
      </c>
      <c r="M26" s="211">
        <f t="shared" si="2"/>
        <v>1.5638588138953682</v>
      </c>
      <c r="N26" s="173" t="e">
        <f>E26-#REF!</f>
        <v>#REF!</v>
      </c>
      <c r="O26" s="176" t="e">
        <f>F26-#REF!</f>
        <v>#REF!</v>
      </c>
      <c r="P26" s="177" t="e">
        <f t="shared" si="7"/>
        <v>#REF!</v>
      </c>
      <c r="Q26" s="174" t="e">
        <f>O26/N26*100</f>
        <v>#REF!</v>
      </c>
      <c r="R26" s="107"/>
      <c r="S26" s="108"/>
      <c r="T26" s="147">
        <f t="shared" si="9"/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 t="shared" si="11"/>
        <v>49767</v>
      </c>
      <c r="F27" s="163">
        <v>49911.97</v>
      </c>
      <c r="G27" s="198">
        <f t="shared" si="0"/>
        <v>144.97000000000116</v>
      </c>
      <c r="H27" s="199">
        <f t="shared" si="4"/>
        <v>100.29129744609881</v>
      </c>
      <c r="I27" s="200">
        <f t="shared" si="5"/>
        <v>144.97000000000116</v>
      </c>
      <c r="J27" s="200">
        <f t="shared" si="6"/>
        <v>100.29129744609881</v>
      </c>
      <c r="K27" s="200">
        <v>27811.39</v>
      </c>
      <c r="L27" s="200">
        <f t="shared" si="1"/>
        <v>22100.58</v>
      </c>
      <c r="M27" s="228">
        <f t="shared" si="2"/>
        <v>1.7946593104479855</v>
      </c>
      <c r="N27" s="199" t="e">
        <f>E27-#REF!</f>
        <v>#REF!</v>
      </c>
      <c r="O27" s="199" t="e">
        <f>F27-#REF!</f>
        <v>#REF!</v>
      </c>
      <c r="P27" s="200" t="e">
        <f t="shared" si="7"/>
        <v>#REF!</v>
      </c>
      <c r="Q27" s="200" t="e">
        <f>O27/N27*100</f>
        <v>#REF!</v>
      </c>
      <c r="R27" s="107"/>
      <c r="S27" s="108"/>
      <c r="T27" s="147">
        <f t="shared" si="9"/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 t="shared" si="11"/>
        <v>108932.65</v>
      </c>
      <c r="F28" s="163">
        <v>110199.06</v>
      </c>
      <c r="G28" s="198">
        <f t="shared" si="0"/>
        <v>1266.4100000000035</v>
      </c>
      <c r="H28" s="199">
        <f t="shared" si="4"/>
        <v>101.16256237225478</v>
      </c>
      <c r="I28" s="200">
        <f t="shared" si="5"/>
        <v>1266.4100000000035</v>
      </c>
      <c r="J28" s="200">
        <f t="shared" si="6"/>
        <v>101.16256237225478</v>
      </c>
      <c r="K28" s="200">
        <v>74570.64</v>
      </c>
      <c r="L28" s="200">
        <f t="shared" si="1"/>
        <v>35628.42</v>
      </c>
      <c r="M28" s="228">
        <f t="shared" si="2"/>
        <v>1.4777807995210983</v>
      </c>
      <c r="N28" s="199" t="e">
        <f>E28-#REF!</f>
        <v>#REF!</v>
      </c>
      <c r="O28" s="199" t="e">
        <f>F28-#REF!</f>
        <v>#REF!</v>
      </c>
      <c r="P28" s="200" t="e">
        <f t="shared" si="7"/>
        <v>#REF!</v>
      </c>
      <c r="Q28" s="200" t="e">
        <f>O28/N28*100</f>
        <v>#REF!</v>
      </c>
      <c r="R28" s="107"/>
      <c r="S28" s="108"/>
      <c r="T28" s="147">
        <f t="shared" si="9"/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 t="shared" si="11"/>
        <v>0</v>
      </c>
      <c r="F29" s="199">
        <v>0.15</v>
      </c>
      <c r="G29" s="150">
        <f t="shared" si="0"/>
        <v>0.15</v>
      </c>
      <c r="H29" s="157"/>
      <c r="I29" s="158">
        <f t="shared" si="5"/>
        <v>0.15</v>
      </c>
      <c r="J29" s="158"/>
      <c r="K29" s="167">
        <v>0</v>
      </c>
      <c r="L29" s="158">
        <f t="shared" si="1"/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 t="shared" si="7"/>
        <v>#REF!</v>
      </c>
      <c r="Q29" s="158"/>
      <c r="R29" s="107"/>
      <c r="S29" s="108"/>
      <c r="T29" s="147">
        <f t="shared" si="9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 t="shared" si="11"/>
        <v>115</v>
      </c>
      <c r="F30" s="156">
        <v>117.68</v>
      </c>
      <c r="G30" s="150">
        <f t="shared" si="0"/>
        <v>2.680000000000007</v>
      </c>
      <c r="H30" s="157">
        <f t="shared" si="4"/>
        <v>102.3304347826087</v>
      </c>
      <c r="I30" s="158">
        <f t="shared" si="5"/>
        <v>2.680000000000007</v>
      </c>
      <c r="J30" s="158">
        <f t="shared" si="6"/>
        <v>102.3304347826087</v>
      </c>
      <c r="K30" s="158">
        <v>76.57</v>
      </c>
      <c r="L30" s="158">
        <f t="shared" si="1"/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 t="shared" si="7"/>
        <v>#REF!</v>
      </c>
      <c r="Q30" s="158" t="e">
        <f>O30/N30*100</f>
        <v>#REF!</v>
      </c>
      <c r="R30" s="107"/>
      <c r="S30" s="108"/>
      <c r="T30" s="147">
        <f t="shared" si="9"/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 t="shared" si="0"/>
        <v>-177.97</v>
      </c>
      <c r="H31" s="157"/>
      <c r="I31" s="158">
        <f t="shared" si="5"/>
        <v>-177.97</v>
      </c>
      <c r="J31" s="158"/>
      <c r="K31" s="158">
        <v>-838.98</v>
      </c>
      <c r="L31" s="158">
        <f t="shared" si="1"/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 t="shared" si="7"/>
        <v>#REF!</v>
      </c>
      <c r="Q31" s="158"/>
      <c r="R31" s="107"/>
      <c r="S31" s="108"/>
      <c r="T31" s="147">
        <f t="shared" si="9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 t="shared" si="0"/>
        <v>2768.600000000006</v>
      </c>
      <c r="H32" s="164">
        <f t="shared" si="4"/>
        <v>101.78045016077171</v>
      </c>
      <c r="I32" s="165">
        <f t="shared" si="5"/>
        <v>2768.600000000006</v>
      </c>
      <c r="J32" s="165">
        <f t="shared" si="6"/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 t="shared" si="7"/>
        <v>#REF!</v>
      </c>
      <c r="Q32" s="165" t="e">
        <f>O32/N32*100</f>
        <v>#REF!</v>
      </c>
      <c r="R32" s="107"/>
      <c r="S32" s="108"/>
      <c r="T32" s="147">
        <f t="shared" si="9"/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 t="shared" si="0"/>
        <v>0.23</v>
      </c>
      <c r="H33" s="105"/>
      <c r="I33" s="104">
        <f t="shared" si="5"/>
        <v>0.23</v>
      </c>
      <c r="J33" s="104"/>
      <c r="K33" s="127">
        <v>-1.15</v>
      </c>
      <c r="L33" s="127">
        <f t="shared" si="1"/>
        <v>1.38</v>
      </c>
      <c r="M33" s="216">
        <f aca="true" t="shared" si="12" ref="M33:M39">F33/K33</f>
        <v>-0.2</v>
      </c>
      <c r="N33" s="105" t="e">
        <f>E33-#REF!</f>
        <v>#REF!</v>
      </c>
      <c r="O33" s="144" t="e">
        <f>F33-#REF!</f>
        <v>#REF!</v>
      </c>
      <c r="P33" s="106" t="e">
        <f t="shared" si="7"/>
        <v>#REF!</v>
      </c>
      <c r="Q33" s="104"/>
      <c r="R33" s="107"/>
      <c r="S33" s="108"/>
      <c r="T33" s="147">
        <f t="shared" si="9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 t="shared" si="0"/>
        <v>856.7200000000012</v>
      </c>
      <c r="H34" s="105">
        <f t="shared" si="4"/>
        <v>102.23587441605555</v>
      </c>
      <c r="I34" s="104">
        <f t="shared" si="5"/>
        <v>856.7200000000012</v>
      </c>
      <c r="J34" s="104">
        <f t="shared" si="6"/>
        <v>102.23587441605555</v>
      </c>
      <c r="K34" s="127">
        <v>24618.58</v>
      </c>
      <c r="L34" s="127">
        <f t="shared" si="1"/>
        <v>14555.14</v>
      </c>
      <c r="M34" s="216">
        <f t="shared" si="12"/>
        <v>1.59122581399902</v>
      </c>
      <c r="N34" s="105" t="e">
        <f>E34-#REF!</f>
        <v>#REF!</v>
      </c>
      <c r="O34" s="144" t="e">
        <f>F34-#REF!</f>
        <v>#REF!</v>
      </c>
      <c r="P34" s="106" t="e">
        <f t="shared" si="7"/>
        <v>#REF!</v>
      </c>
      <c r="Q34" s="104" t="e">
        <f>O34/N34*100</f>
        <v>#REF!</v>
      </c>
      <c r="R34" s="107"/>
      <c r="S34" s="108"/>
      <c r="T34" s="147">
        <f t="shared" si="9"/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 t="shared" si="0"/>
        <v>1907.4600000000064</v>
      </c>
      <c r="H35" s="105">
        <f t="shared" si="4"/>
        <v>101.6284704436021</v>
      </c>
      <c r="I35" s="104">
        <f t="shared" si="5"/>
        <v>1907.4600000000064</v>
      </c>
      <c r="J35" s="104">
        <f t="shared" si="6"/>
        <v>101.6284704436021</v>
      </c>
      <c r="K35" s="127">
        <v>79616.02</v>
      </c>
      <c r="L35" s="127">
        <f t="shared" si="1"/>
        <v>39423.44</v>
      </c>
      <c r="M35" s="216">
        <f t="shared" si="12"/>
        <v>1.495169690723048</v>
      </c>
      <c r="N35" s="105" t="e">
        <f>E35-#REF!</f>
        <v>#REF!</v>
      </c>
      <c r="O35" s="144" t="e">
        <f>F35-#REF!</f>
        <v>#REF!</v>
      </c>
      <c r="P35" s="106" t="e">
        <f t="shared" si="7"/>
        <v>#REF!</v>
      </c>
      <c r="Q35" s="104" t="e">
        <f>O35/N35*100</f>
        <v>#REF!</v>
      </c>
      <c r="R35" s="107"/>
      <c r="S35" s="108"/>
      <c r="T35" s="147">
        <f t="shared" si="9"/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 t="shared" si="0"/>
        <v>4.18</v>
      </c>
      <c r="H36" s="105">
        <f t="shared" si="4"/>
        <v>108.19607843137256</v>
      </c>
      <c r="I36" s="104">
        <f t="shared" si="5"/>
        <v>4.18</v>
      </c>
      <c r="J36" s="104">
        <f t="shared" si="6"/>
        <v>108.19607843137256</v>
      </c>
      <c r="K36" s="127">
        <v>36.13</v>
      </c>
      <c r="L36" s="127">
        <f t="shared" si="1"/>
        <v>19.049999999999997</v>
      </c>
      <c r="M36" s="216">
        <f t="shared" si="12"/>
        <v>1.5272626626072514</v>
      </c>
      <c r="N36" s="105" t="e">
        <f>E36-#REF!</f>
        <v>#REF!</v>
      </c>
      <c r="O36" s="144" t="e">
        <f>F36-#REF!</f>
        <v>#REF!</v>
      </c>
      <c r="P36" s="106" t="e">
        <f t="shared" si="7"/>
        <v>#REF!</v>
      </c>
      <c r="Q36" s="104"/>
      <c r="R36" s="107"/>
      <c r="S36" s="108"/>
      <c r="T36" s="147">
        <f t="shared" si="9"/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5"/>
        <v>0</v>
      </c>
      <c r="J37" s="37"/>
      <c r="K37" s="119">
        <v>6768.9</v>
      </c>
      <c r="L37" s="119">
        <f t="shared" si="1"/>
        <v>-6768.9</v>
      </c>
      <c r="M37" s="217">
        <f t="shared" si="12"/>
        <v>0</v>
      </c>
      <c r="N37" s="137" t="e">
        <f>E37-#REF!</f>
        <v>#REF!</v>
      </c>
      <c r="O37" s="145" t="e">
        <f>F37-#REF!</f>
        <v>#REF!</v>
      </c>
      <c r="P37" s="36" t="e">
        <f t="shared" si="7"/>
        <v>#REF!</v>
      </c>
      <c r="Q37" s="37"/>
      <c r="R37" s="107"/>
      <c r="S37" s="108"/>
      <c r="T37" s="147">
        <f t="shared" si="9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 t="shared" si="1"/>
        <v>18071.929999999993</v>
      </c>
      <c r="M38" s="205">
        <f t="shared" si="12"/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9"/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 aca="true" t="shared" si="13" ref="E39:E45">D39</f>
        <v>550</v>
      </c>
      <c r="F39" s="156">
        <v>551.04</v>
      </c>
      <c r="G39" s="162">
        <f>F39-E39</f>
        <v>1.0399999999999636</v>
      </c>
      <c r="H39" s="164">
        <f aca="true" t="shared" si="14" ref="H39:H62">F39/E39*100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 t="shared" si="1"/>
        <v>550.49</v>
      </c>
      <c r="M39" s="218">
        <f t="shared" si="12"/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5" ref="Q39:Q62">O39/N39*100</f>
        <v>#REF!</v>
      </c>
      <c r="R39" s="37"/>
      <c r="S39" s="94"/>
      <c r="T39" s="147">
        <f t="shared" si="9"/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 t="shared" si="13"/>
        <v>35600</v>
      </c>
      <c r="F40" s="156">
        <v>36136.57</v>
      </c>
      <c r="G40" s="162">
        <f aca="true" t="shared" si="16" ref="G40:G63">F40-E40</f>
        <v>536.5699999999997</v>
      </c>
      <c r="H40" s="164">
        <f t="shared" si="14"/>
        <v>101.5072191011236</v>
      </c>
      <c r="I40" s="165">
        <f aca="true" t="shared" si="17" ref="I40:I63">F40-D40</f>
        <v>536.5699999999997</v>
      </c>
      <c r="J40" s="165">
        <f>F40/D40*100</f>
        <v>101.5072191011236</v>
      </c>
      <c r="K40" s="165">
        <v>19275.42</v>
      </c>
      <c r="L40" s="165">
        <f t="shared" si="1"/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 aca="true" t="shared" si="18" ref="P40:P63">O40-N40</f>
        <v>#REF!</v>
      </c>
      <c r="Q40" s="165" t="e">
        <f t="shared" si="15"/>
        <v>#REF!</v>
      </c>
      <c r="R40" s="37"/>
      <c r="S40" s="94"/>
      <c r="T40" s="147">
        <f t="shared" si="9"/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 t="shared" si="13"/>
        <v>31.039999999999992</v>
      </c>
      <c r="F41" s="156">
        <v>31.98</v>
      </c>
      <c r="G41" s="162">
        <f t="shared" si="16"/>
        <v>0.9400000000000084</v>
      </c>
      <c r="H41" s="164">
        <f t="shared" si="14"/>
        <v>103.02835051546396</v>
      </c>
      <c r="I41" s="165">
        <f t="shared" si="17"/>
        <v>0.9400000000000084</v>
      </c>
      <c r="J41" s="165">
        <f aca="true" t="shared" si="19" ref="J41:J62">F41/D41*100</f>
        <v>103.02835051546396</v>
      </c>
      <c r="K41" s="165">
        <v>445.64</v>
      </c>
      <c r="L41" s="165">
        <f t="shared" si="1"/>
        <v>-413.65999999999997</v>
      </c>
      <c r="M41" s="218">
        <f aca="true" t="shared" si="20" ref="M41:M63">F41/K41</f>
        <v>0.07176196032672112</v>
      </c>
      <c r="N41" s="164" t="e">
        <f>E41-#REF!</f>
        <v>#REF!</v>
      </c>
      <c r="O41" s="168" t="e">
        <f>F41-#REF!</f>
        <v>#REF!</v>
      </c>
      <c r="P41" s="167" t="e">
        <f t="shared" si="18"/>
        <v>#REF!</v>
      </c>
      <c r="Q41" s="165"/>
      <c r="R41" s="37"/>
      <c r="S41" s="94"/>
      <c r="T41" s="147">
        <f t="shared" si="9"/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 t="shared" si="13"/>
        <v>0</v>
      </c>
      <c r="F42" s="156">
        <v>0.1</v>
      </c>
      <c r="G42" s="162">
        <f t="shared" si="16"/>
        <v>0.1</v>
      </c>
      <c r="H42" s="164"/>
      <c r="I42" s="165">
        <f t="shared" si="17"/>
        <v>0.1</v>
      </c>
      <c r="J42" s="165"/>
      <c r="K42" s="165">
        <v>1.02</v>
      </c>
      <c r="L42" s="165">
        <f t="shared" si="1"/>
        <v>-0.92</v>
      </c>
      <c r="M42" s="218">
        <f t="shared" si="20"/>
        <v>0.09803921568627451</v>
      </c>
      <c r="N42" s="164" t="e">
        <f>E42-#REF!</f>
        <v>#REF!</v>
      </c>
      <c r="O42" s="168" t="e">
        <f>F42-#REF!</f>
        <v>#REF!</v>
      </c>
      <c r="P42" s="167" t="e">
        <f t="shared" si="18"/>
        <v>#REF!</v>
      </c>
      <c r="Q42" s="165"/>
      <c r="R42" s="37"/>
      <c r="S42" s="94"/>
      <c r="T42" s="147">
        <f t="shared" si="9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 t="shared" si="13"/>
        <v>227</v>
      </c>
      <c r="F43" s="156">
        <v>241.07</v>
      </c>
      <c r="G43" s="162">
        <f t="shared" si="16"/>
        <v>14.069999999999993</v>
      </c>
      <c r="H43" s="164">
        <f t="shared" si="14"/>
        <v>106.19823788546255</v>
      </c>
      <c r="I43" s="165">
        <f t="shared" si="17"/>
        <v>14.069999999999993</v>
      </c>
      <c r="J43" s="165">
        <f t="shared" si="19"/>
        <v>106.19823788546255</v>
      </c>
      <c r="K43" s="165">
        <v>126.46</v>
      </c>
      <c r="L43" s="165">
        <f t="shared" si="1"/>
        <v>114.61</v>
      </c>
      <c r="M43" s="218">
        <f t="shared" si="20"/>
        <v>1.9062944804681323</v>
      </c>
      <c r="N43" s="164" t="e">
        <f>E43-#REF!</f>
        <v>#REF!</v>
      </c>
      <c r="O43" s="168" t="e">
        <f>F43-#REF!</f>
        <v>#REF!</v>
      </c>
      <c r="P43" s="167" t="e">
        <f t="shared" si="18"/>
        <v>#REF!</v>
      </c>
      <c r="Q43" s="165" t="e">
        <f t="shared" si="15"/>
        <v>#REF!</v>
      </c>
      <c r="R43" s="37"/>
      <c r="S43" s="94"/>
      <c r="T43" s="147">
        <f t="shared" si="9"/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 t="shared" si="13"/>
        <v>85</v>
      </c>
      <c r="F44" s="156">
        <v>86.37</v>
      </c>
      <c r="G44" s="162">
        <f t="shared" si="16"/>
        <v>1.3700000000000045</v>
      </c>
      <c r="H44" s="164"/>
      <c r="I44" s="165">
        <f t="shared" si="17"/>
        <v>1.3700000000000045</v>
      </c>
      <c r="J44" s="165"/>
      <c r="K44" s="165">
        <v>0</v>
      </c>
      <c r="L44" s="165">
        <f t="shared" si="1"/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9"/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 t="shared" si="13"/>
        <v>700</v>
      </c>
      <c r="F45" s="156">
        <v>791.33</v>
      </c>
      <c r="G45" s="162">
        <f t="shared" si="16"/>
        <v>91.33000000000004</v>
      </c>
      <c r="H45" s="164">
        <f t="shared" si="14"/>
        <v>113.04714285714286</v>
      </c>
      <c r="I45" s="165">
        <f t="shared" si="17"/>
        <v>91.33000000000004</v>
      </c>
      <c r="J45" s="165">
        <f t="shared" si="19"/>
        <v>113.04714285714286</v>
      </c>
      <c r="K45" s="165">
        <v>0</v>
      </c>
      <c r="L45" s="165">
        <f t="shared" si="1"/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 t="shared" si="18"/>
        <v>#REF!</v>
      </c>
      <c r="Q45" s="165" t="e">
        <f t="shared" si="15"/>
        <v>#REF!</v>
      </c>
      <c r="R45" s="37"/>
      <c r="S45" s="94"/>
      <c r="T45" s="147">
        <f t="shared" si="9"/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20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9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 aca="true" t="shared" si="21" ref="E47:E57">D47</f>
        <v>11100</v>
      </c>
      <c r="F47" s="156">
        <v>11422.5</v>
      </c>
      <c r="G47" s="162">
        <f t="shared" si="16"/>
        <v>322.5</v>
      </c>
      <c r="H47" s="164">
        <f t="shared" si="14"/>
        <v>102.9054054054054</v>
      </c>
      <c r="I47" s="165">
        <f t="shared" si="17"/>
        <v>322.5</v>
      </c>
      <c r="J47" s="165">
        <f t="shared" si="19"/>
        <v>102.9054054054054</v>
      </c>
      <c r="K47" s="165">
        <v>9902.75</v>
      </c>
      <c r="L47" s="165">
        <f t="shared" si="1"/>
        <v>1519.75</v>
      </c>
      <c r="M47" s="218">
        <f t="shared" si="20"/>
        <v>1.1534674711570019</v>
      </c>
      <c r="N47" s="164" t="e">
        <f>E47-#REF!</f>
        <v>#REF!</v>
      </c>
      <c r="O47" s="168" t="e">
        <f>F47-#REF!</f>
        <v>#REF!</v>
      </c>
      <c r="P47" s="167" t="e">
        <f t="shared" si="18"/>
        <v>#REF!</v>
      </c>
      <c r="Q47" s="165" t="e">
        <f t="shared" si="15"/>
        <v>#REF!</v>
      </c>
      <c r="R47" s="37"/>
      <c r="S47" s="94"/>
      <c r="T47" s="147">
        <f t="shared" si="9"/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 t="shared" si="21"/>
        <v>300</v>
      </c>
      <c r="F48" s="156">
        <v>323.25</v>
      </c>
      <c r="G48" s="162">
        <f t="shared" si="16"/>
        <v>23.25</v>
      </c>
      <c r="H48" s="164">
        <f t="shared" si="14"/>
        <v>107.74999999999999</v>
      </c>
      <c r="I48" s="165">
        <f t="shared" si="17"/>
        <v>23.25</v>
      </c>
      <c r="J48" s="165">
        <f t="shared" si="19"/>
        <v>107.74999999999999</v>
      </c>
      <c r="K48" s="165">
        <v>0</v>
      </c>
      <c r="L48" s="165">
        <f t="shared" si="1"/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 t="shared" si="18"/>
        <v>#REF!</v>
      </c>
      <c r="Q48" s="165"/>
      <c r="R48" s="37"/>
      <c r="S48" s="94"/>
      <c r="T48" s="147">
        <f t="shared" si="9"/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 t="shared" si="21"/>
        <v>19</v>
      </c>
      <c r="F49" s="156">
        <v>22.36</v>
      </c>
      <c r="G49" s="162">
        <f t="shared" si="16"/>
        <v>3.3599999999999994</v>
      </c>
      <c r="H49" s="164">
        <f t="shared" si="14"/>
        <v>117.6842105263158</v>
      </c>
      <c r="I49" s="165">
        <f t="shared" si="17"/>
        <v>3.3599999999999994</v>
      </c>
      <c r="J49" s="165">
        <f t="shared" si="19"/>
        <v>117.6842105263158</v>
      </c>
      <c r="K49" s="165">
        <v>0</v>
      </c>
      <c r="L49" s="165">
        <f t="shared" si="1"/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 t="shared" si="18"/>
        <v>#REF!</v>
      </c>
      <c r="Q49" s="165" t="e">
        <f t="shared" si="15"/>
        <v>#REF!</v>
      </c>
      <c r="R49" s="37"/>
      <c r="S49" s="94"/>
      <c r="T49" s="147">
        <f t="shared" si="9"/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 t="shared" si="21"/>
        <v>7230</v>
      </c>
      <c r="F50" s="156">
        <v>7230.43</v>
      </c>
      <c r="G50" s="162">
        <f t="shared" si="16"/>
        <v>0.43000000000029104</v>
      </c>
      <c r="H50" s="164">
        <f t="shared" si="14"/>
        <v>100.00594744121716</v>
      </c>
      <c r="I50" s="165">
        <f t="shared" si="17"/>
        <v>0.43000000000029104</v>
      </c>
      <c r="J50" s="165">
        <f t="shared" si="19"/>
        <v>100.00594744121716</v>
      </c>
      <c r="K50" s="165">
        <v>8872.3</v>
      </c>
      <c r="L50" s="165">
        <f t="shared" si="1"/>
        <v>-1641.869999999999</v>
      </c>
      <c r="M50" s="218">
        <f t="shared" si="20"/>
        <v>0.81494426473406</v>
      </c>
      <c r="N50" s="164" t="e">
        <f>E50-#REF!</f>
        <v>#REF!</v>
      </c>
      <c r="O50" s="168" t="e">
        <f>F50-#REF!</f>
        <v>#REF!</v>
      </c>
      <c r="P50" s="167" t="e">
        <f t="shared" si="18"/>
        <v>#REF!</v>
      </c>
      <c r="Q50" s="165" t="e">
        <f t="shared" si="15"/>
        <v>#REF!</v>
      </c>
      <c r="R50" s="37"/>
      <c r="S50" s="94"/>
      <c r="T50" s="147">
        <f t="shared" si="9"/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 t="shared" si="21"/>
        <v>5150.04</v>
      </c>
      <c r="F51" s="156">
        <v>5161.34</v>
      </c>
      <c r="G51" s="162">
        <f t="shared" si="16"/>
        <v>11.300000000000182</v>
      </c>
      <c r="H51" s="164">
        <f t="shared" si="14"/>
        <v>100.21941577152799</v>
      </c>
      <c r="I51" s="165">
        <f t="shared" si="17"/>
        <v>11.300000000000182</v>
      </c>
      <c r="J51" s="165">
        <f t="shared" si="19"/>
        <v>100.21941577152799</v>
      </c>
      <c r="K51" s="165">
        <v>7235.66</v>
      </c>
      <c r="L51" s="165">
        <f t="shared" si="1"/>
        <v>-2074.3199999999997</v>
      </c>
      <c r="M51" s="218">
        <f t="shared" si="20"/>
        <v>0.7133198630118055</v>
      </c>
      <c r="N51" s="164" t="e">
        <f>E51-#REF!</f>
        <v>#REF!</v>
      </c>
      <c r="O51" s="168" t="e">
        <f>F51-#REF!</f>
        <v>#REF!</v>
      </c>
      <c r="P51" s="167" t="e">
        <f t="shared" si="18"/>
        <v>#REF!</v>
      </c>
      <c r="Q51" s="165" t="e">
        <f t="shared" si="15"/>
        <v>#REF!</v>
      </c>
      <c r="R51" s="37"/>
      <c r="S51" s="94"/>
      <c r="T51" s="147">
        <f t="shared" si="9"/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 t="shared" si="21"/>
        <v>795</v>
      </c>
      <c r="F52" s="140">
        <v>835.21</v>
      </c>
      <c r="G52" s="34">
        <f t="shared" si="16"/>
        <v>40.210000000000036</v>
      </c>
      <c r="H52" s="30">
        <f t="shared" si="14"/>
        <v>105.05786163522014</v>
      </c>
      <c r="I52" s="104">
        <f t="shared" si="17"/>
        <v>40.210000000000036</v>
      </c>
      <c r="J52" s="104">
        <f t="shared" si="19"/>
        <v>105.05786163522014</v>
      </c>
      <c r="K52" s="104">
        <v>1089.08</v>
      </c>
      <c r="L52" s="104">
        <f>F52-K52</f>
        <v>-253.8699999999999</v>
      </c>
      <c r="M52" s="109">
        <f t="shared" si="20"/>
        <v>0.7668949939398392</v>
      </c>
      <c r="N52" s="164" t="e">
        <f>E52-#REF!</f>
        <v>#REF!</v>
      </c>
      <c r="O52" s="168" t="e">
        <f>F52-#REF!</f>
        <v>#REF!</v>
      </c>
      <c r="P52" s="106" t="e">
        <f t="shared" si="18"/>
        <v>#REF!</v>
      </c>
      <c r="Q52" s="119" t="e">
        <f t="shared" si="15"/>
        <v>#REF!</v>
      </c>
      <c r="R52" s="37"/>
      <c r="S52" s="94"/>
      <c r="T52" s="147">
        <f t="shared" si="9"/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 t="shared" si="21"/>
        <v>5.04</v>
      </c>
      <c r="F53" s="140">
        <v>0.38</v>
      </c>
      <c r="G53" s="34">
        <f t="shared" si="16"/>
        <v>-4.66</v>
      </c>
      <c r="H53" s="30">
        <f t="shared" si="14"/>
        <v>7.5396825396825395</v>
      </c>
      <c r="I53" s="104">
        <f t="shared" si="17"/>
        <v>-4.66</v>
      </c>
      <c r="J53" s="104">
        <f t="shared" si="19"/>
        <v>7.5396825396825395</v>
      </c>
      <c r="K53" s="104">
        <v>44.23</v>
      </c>
      <c r="L53" s="104">
        <f>F53-K53</f>
        <v>-43.849999999999994</v>
      </c>
      <c r="M53" s="109">
        <f t="shared" si="20"/>
        <v>0.008591453764413295</v>
      </c>
      <c r="N53" s="164" t="e">
        <f>E53-#REF!</f>
        <v>#REF!</v>
      </c>
      <c r="O53" s="168" t="e">
        <f>F53-#REF!</f>
        <v>#REF!</v>
      </c>
      <c r="P53" s="106" t="e">
        <f t="shared" si="18"/>
        <v>#REF!</v>
      </c>
      <c r="Q53" s="119" t="e">
        <f t="shared" si="15"/>
        <v>#REF!</v>
      </c>
      <c r="R53" s="37"/>
      <c r="S53" s="94"/>
      <c r="T53" s="147">
        <f t="shared" si="9"/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 t="shared" si="21"/>
        <v>1</v>
      </c>
      <c r="F54" s="140">
        <v>0.02</v>
      </c>
      <c r="G54" s="34">
        <f t="shared" si="16"/>
        <v>-0.98</v>
      </c>
      <c r="H54" s="30"/>
      <c r="I54" s="104">
        <f t="shared" si="17"/>
        <v>-0.98</v>
      </c>
      <c r="J54" s="104">
        <f t="shared" si="19"/>
        <v>2</v>
      </c>
      <c r="K54" s="104">
        <v>0.75</v>
      </c>
      <c r="L54" s="104">
        <f>F54-K54</f>
        <v>-0.73</v>
      </c>
      <c r="M54" s="109">
        <f t="shared" si="20"/>
        <v>0.02666666666666667</v>
      </c>
      <c r="N54" s="164" t="e">
        <f>E54-#REF!</f>
        <v>#REF!</v>
      </c>
      <c r="O54" s="168" t="e">
        <f>F54-#REF!</f>
        <v>#REF!</v>
      </c>
      <c r="P54" s="106" t="e">
        <f t="shared" si="18"/>
        <v>#REF!</v>
      </c>
      <c r="Q54" s="119"/>
      <c r="R54" s="37"/>
      <c r="S54" s="94"/>
      <c r="T54" s="147">
        <f t="shared" si="9"/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 t="shared" si="21"/>
        <v>4349</v>
      </c>
      <c r="F55" s="140">
        <v>4325.74</v>
      </c>
      <c r="G55" s="34">
        <f t="shared" si="16"/>
        <v>-23.26000000000022</v>
      </c>
      <c r="H55" s="30">
        <f t="shared" si="14"/>
        <v>99.46516440561048</v>
      </c>
      <c r="I55" s="104">
        <f t="shared" si="17"/>
        <v>-23.26000000000022</v>
      </c>
      <c r="J55" s="104">
        <f t="shared" si="19"/>
        <v>99.46516440561048</v>
      </c>
      <c r="K55" s="104">
        <v>6101.6</v>
      </c>
      <c r="L55" s="104">
        <f>F55-K55</f>
        <v>-1775.8600000000006</v>
      </c>
      <c r="M55" s="109">
        <f t="shared" si="20"/>
        <v>0.7089517503605611</v>
      </c>
      <c r="N55" s="164" t="e">
        <f>E55-#REF!</f>
        <v>#REF!</v>
      </c>
      <c r="O55" s="168" t="e">
        <f>F55-#REF!</f>
        <v>#REF!</v>
      </c>
      <c r="P55" s="106" t="e">
        <f t="shared" si="18"/>
        <v>#REF!</v>
      </c>
      <c r="Q55" s="119" t="e">
        <f t="shared" si="15"/>
        <v>#REF!</v>
      </c>
      <c r="R55" s="37"/>
      <c r="S55" s="94"/>
      <c r="T55" s="147">
        <f t="shared" si="9"/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 t="shared" si="21"/>
        <v>2</v>
      </c>
      <c r="F56" s="156">
        <v>2.46</v>
      </c>
      <c r="G56" s="162">
        <f t="shared" si="16"/>
        <v>0.45999999999999996</v>
      </c>
      <c r="H56" s="164">
        <f t="shared" si="14"/>
        <v>123</v>
      </c>
      <c r="I56" s="165">
        <f t="shared" si="17"/>
        <v>0.45999999999999996</v>
      </c>
      <c r="J56" s="165">
        <f t="shared" si="19"/>
        <v>123</v>
      </c>
      <c r="K56" s="165">
        <v>10.65</v>
      </c>
      <c r="L56" s="165">
        <f>F56-K56</f>
        <v>-8.190000000000001</v>
      </c>
      <c r="M56" s="218">
        <f t="shared" si="20"/>
        <v>0.23098591549295774</v>
      </c>
      <c r="N56" s="164" t="e">
        <f>E56-#REF!</f>
        <v>#REF!</v>
      </c>
      <c r="O56" s="168" t="e">
        <f>F56-#REF!</f>
        <v>#REF!</v>
      </c>
      <c r="P56" s="167" t="e">
        <f t="shared" si="18"/>
        <v>#REF!</v>
      </c>
      <c r="Q56" s="165"/>
      <c r="R56" s="37"/>
      <c r="S56" s="94"/>
      <c r="T56" s="147">
        <f t="shared" si="9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 t="shared" si="21"/>
        <v>6200</v>
      </c>
      <c r="F57" s="156">
        <v>6525.16</v>
      </c>
      <c r="G57" s="162">
        <f t="shared" si="16"/>
        <v>325.15999999999985</v>
      </c>
      <c r="H57" s="164">
        <f t="shared" si="14"/>
        <v>105.24451612903225</v>
      </c>
      <c r="I57" s="165">
        <f t="shared" si="17"/>
        <v>325.15999999999985</v>
      </c>
      <c r="J57" s="165">
        <f t="shared" si="19"/>
        <v>105.24451612903225</v>
      </c>
      <c r="K57" s="165">
        <v>4790.19</v>
      </c>
      <c r="L57" s="165">
        <f aca="true" t="shared" si="22" ref="L57:L63">F57-K57</f>
        <v>1734.9700000000003</v>
      </c>
      <c r="M57" s="218">
        <f t="shared" si="20"/>
        <v>1.362192313874815</v>
      </c>
      <c r="N57" s="164" t="e">
        <f>E57-#REF!</f>
        <v>#REF!</v>
      </c>
      <c r="O57" s="168" t="e">
        <f>F57-#REF!</f>
        <v>#REF!</v>
      </c>
      <c r="P57" s="167" t="e">
        <f t="shared" si="18"/>
        <v>#REF!</v>
      </c>
      <c r="Q57" s="165" t="e">
        <f t="shared" si="15"/>
        <v>#REF!</v>
      </c>
      <c r="R57" s="37"/>
      <c r="S57" s="94"/>
      <c r="T57" s="147">
        <f t="shared" si="9"/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6"/>
        <v>0</v>
      </c>
      <c r="H58" s="164" t="e">
        <f t="shared" si="14"/>
        <v>#DIV/0!</v>
      </c>
      <c r="I58" s="165">
        <f t="shared" si="17"/>
        <v>0</v>
      </c>
      <c r="J58" s="165" t="e">
        <f t="shared" si="19"/>
        <v>#DIV/0!</v>
      </c>
      <c r="K58" s="165"/>
      <c r="L58" s="165">
        <f t="shared" si="22"/>
        <v>0</v>
      </c>
      <c r="M58" s="218" t="e">
        <f t="shared" si="20"/>
        <v>#DIV/0!</v>
      </c>
      <c r="N58" s="164" t="e">
        <f>E58-#REF!</f>
        <v>#REF!</v>
      </c>
      <c r="O58" s="168" t="e">
        <f>F58-#REF!</f>
        <v>#REF!</v>
      </c>
      <c r="P58" s="167" t="e">
        <f t="shared" si="18"/>
        <v>#REF!</v>
      </c>
      <c r="Q58" s="165" t="e">
        <f t="shared" si="15"/>
        <v>#REF!</v>
      </c>
      <c r="R58" s="37"/>
      <c r="S58" s="94"/>
      <c r="T58" s="147">
        <f t="shared" si="9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 t="shared" si="22"/>
        <v>186.95000000000005</v>
      </c>
      <c r="M59" s="218">
        <f t="shared" si="20"/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 t="shared" si="9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 t="shared" si="16"/>
        <v>0</v>
      </c>
      <c r="H60" s="164"/>
      <c r="I60" s="165">
        <f t="shared" si="17"/>
        <v>0</v>
      </c>
      <c r="J60" s="165"/>
      <c r="K60" s="166"/>
      <c r="L60" s="165">
        <f t="shared" si="22"/>
        <v>0</v>
      </c>
      <c r="M60" s="218" t="e">
        <f t="shared" si="20"/>
        <v>#DIV/0!</v>
      </c>
      <c r="N60" s="164" t="e">
        <f>E60-#REF!</f>
        <v>#REF!</v>
      </c>
      <c r="O60" s="168" t="e">
        <f>F60-#REF!</f>
        <v>#REF!</v>
      </c>
      <c r="P60" s="167" t="e">
        <f t="shared" si="18"/>
        <v>#REF!</v>
      </c>
      <c r="Q60" s="165"/>
      <c r="R60" s="37"/>
      <c r="S60" s="94"/>
      <c r="T60" s="147">
        <f t="shared" si="9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 t="shared" si="16"/>
        <v>68.72</v>
      </c>
      <c r="H61" s="164">
        <f t="shared" si="14"/>
        <v>143.49367088607593</v>
      </c>
      <c r="I61" s="165">
        <f t="shared" si="17"/>
        <v>68.72</v>
      </c>
      <c r="J61" s="165">
        <f t="shared" si="19"/>
        <v>143.49367088607593</v>
      </c>
      <c r="K61" s="165">
        <v>20.05</v>
      </c>
      <c r="L61" s="165">
        <f t="shared" si="22"/>
        <v>206.67</v>
      </c>
      <c r="M61" s="218">
        <f t="shared" si="20"/>
        <v>11.307730673316708</v>
      </c>
      <c r="N61" s="164" t="e">
        <f>E61-#REF!</f>
        <v>#REF!</v>
      </c>
      <c r="O61" s="168" t="e">
        <f>F61-#REF!</f>
        <v>#REF!</v>
      </c>
      <c r="P61" s="167" t="e">
        <f t="shared" si="18"/>
        <v>#REF!</v>
      </c>
      <c r="Q61" s="165"/>
      <c r="R61" s="37"/>
      <c r="S61" s="94"/>
      <c r="T61" s="147">
        <f t="shared" si="9"/>
        <v>0</v>
      </c>
    </row>
    <row r="62" spans="1:20" s="6" customFormat="1" ht="30.75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 t="shared" si="16"/>
        <v>0.5199999999999996</v>
      </c>
      <c r="H62" s="164">
        <f t="shared" si="14"/>
        <v>104</v>
      </c>
      <c r="I62" s="165">
        <f t="shared" si="17"/>
        <v>0.5199999999999996</v>
      </c>
      <c r="J62" s="165">
        <f t="shared" si="19"/>
        <v>104</v>
      </c>
      <c r="K62" s="165">
        <v>26.28</v>
      </c>
      <c r="L62" s="165">
        <f t="shared" si="22"/>
        <v>-12.760000000000002</v>
      </c>
      <c r="M62" s="218">
        <f t="shared" si="20"/>
        <v>0.5144596651445966</v>
      </c>
      <c r="N62" s="164" t="e">
        <f>E62-#REF!</f>
        <v>#REF!</v>
      </c>
      <c r="O62" s="168" t="e">
        <f>F62-#REF!</f>
        <v>#REF!</v>
      </c>
      <c r="P62" s="167" t="e">
        <f t="shared" si="18"/>
        <v>#REF!</v>
      </c>
      <c r="Q62" s="165" t="e">
        <f t="shared" si="15"/>
        <v>#REF!</v>
      </c>
      <c r="R62" s="37"/>
      <c r="S62" s="94"/>
      <c r="T62" s="147">
        <f t="shared" si="9"/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 t="shared" si="16"/>
        <v>6.57</v>
      </c>
      <c r="H63" s="164"/>
      <c r="I63" s="165">
        <f t="shared" si="17"/>
        <v>6.57</v>
      </c>
      <c r="J63" s="165"/>
      <c r="K63" s="165">
        <v>0.58</v>
      </c>
      <c r="L63" s="165">
        <f t="shared" si="22"/>
        <v>6.79</v>
      </c>
      <c r="M63" s="218">
        <f t="shared" si="20"/>
        <v>12.706896551724139</v>
      </c>
      <c r="N63" s="164" t="e">
        <f>E63-#REF!</f>
        <v>#REF!</v>
      </c>
      <c r="O63" s="168" t="e">
        <f>F63-#REF!</f>
        <v>#REF!</v>
      </c>
      <c r="P63" s="167" t="e">
        <f t="shared" si="18"/>
        <v>#REF!</v>
      </c>
      <c r="Q63" s="165"/>
      <c r="R63" s="37"/>
      <c r="S63" s="94"/>
      <c r="T63" s="147">
        <f t="shared" si="9"/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9"/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9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9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9"/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9"/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9"/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9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9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9"/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 aca="true" t="shared" si="23" ref="G73:G83">F73-E73</f>
        <v>1618.9899999999998</v>
      </c>
      <c r="H73" s="164"/>
      <c r="I73" s="167">
        <f aca="true" t="shared" si="24" ref="I73:I83">F73-D73</f>
        <v>1618.9899999999998</v>
      </c>
      <c r="J73" s="167">
        <f>F73/D73*100</f>
        <v>153.96633333333332</v>
      </c>
      <c r="K73" s="167">
        <v>619.07</v>
      </c>
      <c r="L73" s="167">
        <f aca="true" t="shared" si="25" ref="L73:L83">F73-K73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 aca="true" t="shared" si="26" ref="P73:P86">O73-N73</f>
        <v>#REF!</v>
      </c>
      <c r="Q73" s="167" t="e">
        <f>O73/N73*100</f>
        <v>#REF!</v>
      </c>
      <c r="R73" s="38"/>
      <c r="S73" s="97"/>
      <c r="T73" s="147">
        <f t="shared" si="9"/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 t="shared" si="23"/>
        <v>140.77000000000044</v>
      </c>
      <c r="H74" s="164">
        <f>F74/E74*100</f>
        <v>101.36736279747451</v>
      </c>
      <c r="I74" s="167">
        <f t="shared" si="24"/>
        <v>140.77000000000044</v>
      </c>
      <c r="J74" s="167">
        <f>F74/D74*100</f>
        <v>101.36736279747451</v>
      </c>
      <c r="K74" s="167">
        <v>8374.15</v>
      </c>
      <c r="L74" s="167">
        <f t="shared" si="25"/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 t="shared" si="26"/>
        <v>#REF!</v>
      </c>
      <c r="Q74" s="167" t="e">
        <f>O74/N74*100</f>
        <v>#REF!</v>
      </c>
      <c r="R74" s="38"/>
      <c r="S74" s="97"/>
      <c r="T74" s="147">
        <f aca="true" t="shared" si="27" ref="T74:T90">D74-E74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 t="shared" si="23"/>
        <v>193.1900000000005</v>
      </c>
      <c r="H75" s="164">
        <f>F75/E75*100</f>
        <v>101.55798387096775</v>
      </c>
      <c r="I75" s="167">
        <f t="shared" si="24"/>
        <v>193.1900000000005</v>
      </c>
      <c r="J75" s="167">
        <f>F75/D75*100</f>
        <v>101.55798387096775</v>
      </c>
      <c r="K75" s="167">
        <v>2315.93</v>
      </c>
      <c r="L75" s="167">
        <f t="shared" si="25"/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 t="shared" si="26"/>
        <v>#REF!</v>
      </c>
      <c r="Q75" s="167" t="e">
        <f>O75/N75*100</f>
        <v>#REF!</v>
      </c>
      <c r="R75" s="38"/>
      <c r="S75" s="97"/>
      <c r="T75" s="147">
        <f t="shared" si="27"/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 t="shared" si="23"/>
        <v>1</v>
      </c>
      <c r="H76" s="164">
        <f>F76/E76*100</f>
        <v>108.33333333333333</v>
      </c>
      <c r="I76" s="167">
        <f t="shared" si="24"/>
        <v>1</v>
      </c>
      <c r="J76" s="167">
        <f>F76/D76*100</f>
        <v>108.33333333333333</v>
      </c>
      <c r="K76" s="167">
        <v>0</v>
      </c>
      <c r="L76" s="167">
        <f t="shared" si="25"/>
        <v>13</v>
      </c>
      <c r="M76" s="209"/>
      <c r="N76" s="164" t="e">
        <f>E76-#REF!</f>
        <v>#REF!</v>
      </c>
      <c r="O76" s="168" t="e">
        <f>F76-#REF!</f>
        <v>#REF!</v>
      </c>
      <c r="P76" s="167" t="e">
        <f t="shared" si="26"/>
        <v>#REF!</v>
      </c>
      <c r="Q76" s="167" t="e">
        <f>O76/N76*100</f>
        <v>#REF!</v>
      </c>
      <c r="R76" s="38"/>
      <c r="S76" s="136"/>
      <c r="T76" s="147">
        <f t="shared" si="27"/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 t="shared" si="23"/>
        <v>1953.9500000000007</v>
      </c>
      <c r="H77" s="186">
        <f>F77/E77*100</f>
        <v>107.60084801804956</v>
      </c>
      <c r="I77" s="187">
        <f t="shared" si="24"/>
        <v>1953.9500000000007</v>
      </c>
      <c r="J77" s="187">
        <f>F77/D77*100</f>
        <v>107.60084801804956</v>
      </c>
      <c r="K77" s="187">
        <v>11309.15</v>
      </c>
      <c r="L77" s="187">
        <f t="shared" si="25"/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 t="shared" si="26"/>
        <v>#REF!</v>
      </c>
      <c r="Q77" s="187" t="e">
        <f>O77/N77*100</f>
        <v>#REF!</v>
      </c>
      <c r="R77" s="39"/>
      <c r="S77" s="116"/>
      <c r="T77" s="147">
        <f t="shared" si="27"/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 t="shared" si="23"/>
        <v>19.989999999999995</v>
      </c>
      <c r="H78" s="164"/>
      <c r="I78" s="167">
        <f t="shared" si="24"/>
        <v>19.989999999999995</v>
      </c>
      <c r="J78" s="167"/>
      <c r="K78" s="167">
        <v>1.07</v>
      </c>
      <c r="L78" s="167">
        <f t="shared" si="25"/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 t="shared" si="26"/>
        <v>#REF!</v>
      </c>
      <c r="Q78" s="167"/>
      <c r="R78" s="38"/>
      <c r="S78" s="97"/>
      <c r="T78" s="147">
        <f t="shared" si="27"/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23"/>
        <v>0</v>
      </c>
      <c r="H79" s="164"/>
      <c r="I79" s="167">
        <f t="shared" si="24"/>
        <v>0</v>
      </c>
      <c r="J79" s="190"/>
      <c r="K79" s="167">
        <v>0</v>
      </c>
      <c r="L79" s="167">
        <f t="shared" si="25"/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6"/>
        <v>#REF!</v>
      </c>
      <c r="Q79" s="190"/>
      <c r="R79" s="41"/>
      <c r="S79" s="99"/>
      <c r="T79" s="147">
        <f t="shared" si="27"/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 t="shared" si="23"/>
        <v>2.680000000000291</v>
      </c>
      <c r="H80" s="164">
        <f>F80/E80*100</f>
        <v>100.03209580838323</v>
      </c>
      <c r="I80" s="167">
        <f t="shared" si="24"/>
        <v>2.680000000000291</v>
      </c>
      <c r="J80" s="167">
        <f>F80/D80*100</f>
        <v>100.03209580838323</v>
      </c>
      <c r="K80" s="167">
        <v>0</v>
      </c>
      <c r="L80" s="167">
        <f t="shared" si="25"/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27"/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 t="shared" si="23"/>
        <v>1.48</v>
      </c>
      <c r="H81" s="164"/>
      <c r="I81" s="167">
        <f t="shared" si="24"/>
        <v>1.48</v>
      </c>
      <c r="J81" s="167"/>
      <c r="K81" s="167">
        <v>1.43</v>
      </c>
      <c r="L81" s="167">
        <f t="shared" si="25"/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 t="shared" si="26"/>
        <v>#REF!</v>
      </c>
      <c r="Q81" s="167"/>
      <c r="R81" s="38"/>
      <c r="S81" s="97"/>
      <c r="T81" s="147">
        <f t="shared" si="27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 t="shared" si="24"/>
        <v>24.149999999999636</v>
      </c>
      <c r="J82" s="187">
        <f>F82/D82*100</f>
        <v>100.2875</v>
      </c>
      <c r="K82" s="187">
        <v>2.5</v>
      </c>
      <c r="L82" s="187">
        <f t="shared" si="25"/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27"/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 t="shared" si="23"/>
        <v>8.329999999999998</v>
      </c>
      <c r="H83" s="164">
        <f>F83/E83*100</f>
        <v>130.85185185185185</v>
      </c>
      <c r="I83" s="167">
        <f t="shared" si="24"/>
        <v>8.329999999999998</v>
      </c>
      <c r="J83" s="167">
        <f>F83/D83*100</f>
        <v>130.85185185185185</v>
      </c>
      <c r="K83" s="167">
        <v>38.99</v>
      </c>
      <c r="L83" s="167">
        <f t="shared" si="25"/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 t="shared" si="26"/>
        <v>#REF!</v>
      </c>
      <c r="Q83" s="167" t="e">
        <f>O83/N83</f>
        <v>#REF!</v>
      </c>
      <c r="R83" s="38"/>
      <c r="S83" s="97"/>
      <c r="T83" s="147">
        <f t="shared" si="27"/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 t="shared" si="26"/>
        <v>#REF!</v>
      </c>
      <c r="Q84" s="167"/>
      <c r="R84" s="38"/>
      <c r="S84" s="97"/>
      <c r="T84" s="147">
        <f t="shared" si="27"/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 t="shared" si="26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7"/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 t="shared" si="26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7"/>
        <v>0</v>
      </c>
    </row>
    <row r="87" spans="2:20" ht="15">
      <c r="B87" s="20" t="s">
        <v>34</v>
      </c>
      <c r="O87" s="25"/>
      <c r="T87" s="147">
        <f t="shared" si="27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7"/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264"/>
      <c r="H89" s="264"/>
      <c r="I89" s="264"/>
      <c r="J89" s="264"/>
      <c r="K89" s="84"/>
      <c r="L89" s="84"/>
      <c r="M89" s="84"/>
      <c r="Q89" s="25"/>
      <c r="R89" s="25"/>
      <c r="T89" s="147" t="e">
        <f t="shared" si="27"/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265"/>
      <c r="P90" s="265"/>
      <c r="T90" s="147">
        <f t="shared" si="27"/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266"/>
      <c r="H91" s="266"/>
      <c r="I91" s="118"/>
      <c r="J91" s="267"/>
      <c r="K91" s="267"/>
      <c r="L91" s="267"/>
      <c r="M91" s="267"/>
      <c r="N91" s="267"/>
      <c r="O91" s="265"/>
      <c r="P91" s="265"/>
    </row>
    <row r="92" spans="3:16" ht="15.75" customHeight="1">
      <c r="C92" s="81">
        <v>42732</v>
      </c>
      <c r="D92" s="29">
        <v>19085.6</v>
      </c>
      <c r="F92" s="68"/>
      <c r="G92" s="266"/>
      <c r="H92" s="266"/>
      <c r="I92" s="118"/>
      <c r="J92" s="268"/>
      <c r="K92" s="268"/>
      <c r="L92" s="268"/>
      <c r="M92" s="268"/>
      <c r="N92" s="268"/>
      <c r="O92" s="265"/>
      <c r="P92" s="265"/>
    </row>
    <row r="93" spans="3:14" ht="15.75" customHeight="1">
      <c r="C93" s="81"/>
      <c r="F93" s="68"/>
      <c r="G93" s="272"/>
      <c r="H93" s="272"/>
      <c r="I93" s="124"/>
      <c r="J93" s="267"/>
      <c r="K93" s="267"/>
      <c r="L93" s="267"/>
      <c r="M93" s="267"/>
      <c r="N93" s="267"/>
    </row>
    <row r="94" spans="2:14" ht="18.75" customHeight="1">
      <c r="B94" s="273" t="s">
        <v>56</v>
      </c>
      <c r="C94" s="274"/>
      <c r="D94" s="133">
        <f>'[1]залишки  (2)'!$G$6/1000</f>
        <v>0.0066</v>
      </c>
      <c r="E94" s="69"/>
      <c r="F94" s="125" t="s">
        <v>107</v>
      </c>
      <c r="G94" s="266"/>
      <c r="H94" s="266"/>
      <c r="I94" s="126"/>
      <c r="J94" s="267"/>
      <c r="K94" s="267"/>
      <c r="L94" s="267"/>
      <c r="M94" s="267"/>
      <c r="N94" s="267"/>
    </row>
    <row r="95" spans="6:13" ht="9" customHeight="1">
      <c r="F95" s="68"/>
      <c r="G95" s="266"/>
      <c r="H95" s="266"/>
      <c r="I95" s="68"/>
      <c r="J95" s="69"/>
      <c r="K95" s="69"/>
      <c r="L95" s="69"/>
      <c r="M95" s="69"/>
    </row>
    <row r="96" spans="2:13" ht="22.5" customHeight="1" hidden="1">
      <c r="B96" s="269" t="s">
        <v>59</v>
      </c>
      <c r="C96" s="270"/>
      <c r="D96" s="80">
        <v>0</v>
      </c>
      <c r="E96" s="51" t="s">
        <v>24</v>
      </c>
      <c r="F96" s="68"/>
      <c r="G96" s="266"/>
      <c r="H96" s="266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271"/>
      <c r="P98" s="271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 aca="true" t="shared" si="28" ref="K100:P100">K40+K41+K43+K45+K47+K48+K49+K50+K51+K57+K61+K44</f>
        <v>50668.47</v>
      </c>
      <c r="L100" s="29">
        <f t="shared" si="28"/>
        <v>17530.610000000004</v>
      </c>
      <c r="M100" s="29">
        <f t="shared" si="28"/>
        <v>17.329711026889246</v>
      </c>
      <c r="N100" s="29" t="e">
        <f t="shared" si="28"/>
        <v>#REF!</v>
      </c>
      <c r="O100" s="229" t="e">
        <f t="shared" si="28"/>
        <v>#REF!</v>
      </c>
      <c r="P100" s="29" t="e">
        <f t="shared" si="28"/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 aca="true" t="shared" si="29" ref="E101:P101">SUM(E99:E100)</f>
        <v>1042725.7300000001</v>
      </c>
      <c r="F101" s="229">
        <f t="shared" si="29"/>
        <v>1053569.51</v>
      </c>
      <c r="G101" s="29">
        <f t="shared" si="29"/>
        <v>10843.779999999912</v>
      </c>
      <c r="H101" s="230">
        <f>F101/E101</f>
        <v>1.0103994556651057</v>
      </c>
      <c r="I101" s="29">
        <f t="shared" si="29"/>
        <v>10843.779999999912</v>
      </c>
      <c r="J101" s="230">
        <f>F101/D101</f>
        <v>1.0103994556651057</v>
      </c>
      <c r="K101" s="29">
        <f t="shared" si="29"/>
        <v>50668.47</v>
      </c>
      <c r="L101" s="29">
        <f t="shared" si="29"/>
        <v>17530.610000000004</v>
      </c>
      <c r="M101" s="29">
        <f t="shared" si="29"/>
        <v>17.329711026889246</v>
      </c>
      <c r="N101" s="29" t="e">
        <f t="shared" si="29"/>
        <v>#REF!</v>
      </c>
      <c r="O101" s="229" t="e">
        <f t="shared" si="29"/>
        <v>#REF!</v>
      </c>
      <c r="P101" s="29" t="e">
        <f t="shared" si="29"/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 aca="true" t="shared" si="30" ref="E102:U102">E64-E101</f>
        <v>0</v>
      </c>
      <c r="F102" s="29">
        <f t="shared" si="30"/>
        <v>0</v>
      </c>
      <c r="G102" s="29">
        <f t="shared" si="30"/>
        <v>2.3283064365386963E-10</v>
      </c>
      <c r="H102" s="230"/>
      <c r="I102" s="29">
        <f t="shared" si="30"/>
        <v>2.3283064365386963E-10</v>
      </c>
      <c r="J102" s="230"/>
      <c r="K102" s="29">
        <f t="shared" si="30"/>
        <v>672732.15</v>
      </c>
      <c r="L102" s="29">
        <f t="shared" si="30"/>
        <v>312638.28000000026</v>
      </c>
      <c r="M102" s="29">
        <f t="shared" si="30"/>
        <v>-15.873298797107081</v>
      </c>
      <c r="N102" s="29" t="e">
        <f t="shared" si="30"/>
        <v>#REF!</v>
      </c>
      <c r="O102" s="29" t="e">
        <f t="shared" si="30"/>
        <v>#REF!</v>
      </c>
      <c r="P102" s="29" t="e">
        <f t="shared" si="30"/>
        <v>#REF!</v>
      </c>
      <c r="Q102" s="29"/>
      <c r="R102" s="29" t="e">
        <f t="shared" si="30"/>
        <v>#REF!</v>
      </c>
      <c r="S102" s="29" t="e">
        <f t="shared" si="30"/>
        <v>#REF!</v>
      </c>
      <c r="T102" s="29">
        <f t="shared" si="30"/>
        <v>0</v>
      </c>
      <c r="U102" s="29">
        <f t="shared" si="30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2017-02-09T12:15:43Z</cp:lastPrinted>
  <dcterms:created xsi:type="dcterms:W3CDTF">2003-07-28T11:27:56Z</dcterms:created>
  <dcterms:modified xsi:type="dcterms:W3CDTF">2017-02-09T12:27:56Z</dcterms:modified>
  <cp:category/>
  <cp:version/>
  <cp:contentType/>
  <cp:contentStatus/>
</cp:coreProperties>
</file>